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<sst xmlns="http://schemas.openxmlformats.org/spreadsheetml/2006/main" count="1829" uniqueCount="278">
  <si>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</si>
  <si>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</si>
  <si>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</si>
  <si>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</si>
  <si>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</si>
  <si>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</si>
  <si>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</si>
  <si>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</si>
  <si>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</si>
  <si>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</si>
  <si>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</si>
  <si>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</si>
  <si>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</si>
  <si>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</si>
  <si>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</si>
  <si>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</si>
  <si>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</si>
  <si>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</si>
  <si>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</si>
  <si>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</si>
  <si>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</si>
  <si>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</si>
  <si>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</si>
  <si>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</si>
  <si>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</si>
  <si>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</si>
  <si>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</si>
  <si>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</si>
  <si>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</si>
  <si>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</si>
  <si>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</si>
  <si>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</si>
  <si>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</si>
  <si>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</si>
  <si>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</si>
  <si>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</si>
  <si>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</si>
  <si>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</si>
  <si>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</si>
  <si>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</si>
  <si>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</si>
  <si>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</si>
  <si>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</si>
  <si>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</si>
  <si>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</si>
  <si>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</si>
  <si>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</si>
  <si>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</si>
  <si>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</si>
  <si>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</si>
  <si>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</si>
  <si>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</si>
  <si>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</si>
  <si>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</si>
  <si>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</si>
  <si>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</si>
  <si>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</si>
  <si>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</si>
  <si>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</si>
  <si>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</si>
  <si>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</si>
  <si>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</si>
  <si>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</si>
  <si>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</si>
  <si>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</si>
  <si>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</si>
  <si>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</si>
  <si>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</si>
  <si>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</si>
  <si>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</si>
  <si>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</si>
  <si>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</si>
  <si>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</si>
  <si>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</si>
  <si>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</si>
  <si>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</si>
  <si>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</si>
  <si>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</si>
  <si>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</si>
  <si>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</si>
  <si>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</si>
  <si>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</si>
  <si>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</si>
  <si>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</si>
  <si>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</si>
  <si>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</si>
  <si>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</si>
  <si>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</si>
  <si>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</si>
  <si>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</si>
  <si>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</si>
  <si>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</si>
  <si>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</si>
  <si>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</si>
  <si>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</si>
  <si>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</si>
  <si>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</si>
  <si>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</si>
  <si>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</si>
  <si>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</si>
  <si>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</si>
  <si>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</si>
  <si>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</si>
  <si>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</si>
  <si>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</si>
  <si>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</si>
  <si>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</si>
  <si>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</si>
  <si>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</si>
  <si>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</si>
  <si>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</si>
  <si>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</si>
  <si>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</si>
  <si>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</si>
  <si>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</si>
  <si>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</si>
  <si>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</si>
  <si>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</si>
  <si>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</si>
  <si>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</si>
  <si>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</si>
  <si>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</si>
  <si>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</si>
  <si>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</si>
  <si>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</si>
  <si>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</si>
  <si>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</si>
  <si>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</si>
  <si>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</si>
  <si>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</si>
  <si>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</si>
  <si>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</si>
  <si>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</si>
  <si>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</si>
  <si>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</si>
  <si>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</si>
  <si>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</si>
  <si>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</si>
  <si>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</si>
  <si>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</si>
  <si>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</si>
  <si>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</si>
  <si>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</si>
  <si>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</si>
  <si>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</si>
  <si>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</si>
  <si>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</si>
  <si>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</si>
  <si>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</si>
  <si>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</si>
  <si>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</si>
  <si>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</si>
  <si>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</si>
  <si>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</si>
  <si>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</si>
  <si>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</si>
  <si>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</si>
  <si>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</si>
  <si>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</si>
  <si>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</si>
  <si>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</si>
  <si>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</si>
  <si>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</si>
  <si>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</si>
  <si>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</si>
  <si>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</si>
  <si>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</si>
  <si>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</si>
  <si>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</si>
  <si>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</si>
  <si>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</si>
  <si>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</si>
  <si>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</si>
  <si>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</si>
  <si>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</si>
  <si>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</si>
  <si>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</si>
  <si>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</si>
  <si>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</si>
  <si>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</si>
  <si>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</si>
  <si>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</si>
  <si>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</si>
  <si>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</si>
  <si>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</si>
  <si>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</si>
  <si>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</si>
  <si>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</si>
  <si>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</si>
  <si>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</si>
  <si>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</si>
  <si>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</si>
  <si>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</si>
  <si>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</si>
  <si>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</si>
  <si>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</si>
  <si>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</si>
  <si>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</si>
  <si>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</si>
  <si>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</si>
  <si>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</si>
  <si>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</si>
  <si>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</si>
  <si>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</si>
  <si>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</si>
  <si>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</si>
  <si>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</si>
  <si>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</si>
  <si>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</si>
  <si>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</si>
  <si>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</si>
  <si>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</si>
  <si>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</si>
  <si>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</si>
  <si>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</si>
  <si>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</si>
  <si>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</si>
  <si>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</si>
  <si>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</si>
  <si>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</si>
  <si>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</si>
  <si>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</si>
  <si>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</si>
  <si>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</si>
  <si>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</si>
  <si>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</si>
  <si>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</si>
  <si>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</si>
  <si>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</si>
  <si>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</si>
  <si>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</si>
  <si>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</si>
  <si>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</si>
  <si>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</si>
  <si>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</si>
  <si>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</si>
  <si>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</si>
  <si>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</si>
  <si>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</si>
  <si>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</si>
  <si>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</si>
  <si>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</si>
  <si>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</si>
  <si>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</si>
  <si>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</si>
  <si>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</si>
  <si>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</si>
  <si>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</si>
  <si>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</si>
  <si>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</si>
  <si>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</si>
  <si>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</si>
  <si>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</si>
  <si>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</si>
  <si>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</si>
  <si>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</si>
  <si>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</si>
  <si>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</si>
  <si>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</si>
  <si>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</si>
  <si>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</si>
  <si>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</si>
  <si>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</si>
  <si>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</si>
  <si>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</si>
  <si>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</si>
  <si>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</si>
  <si>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</si>
  <si>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</si>
  <si>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</si>
  <si>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</si>
  <si>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</si>
  <si>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</si>
  <si>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</si>
  <si>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</si>
  <si>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</si>
  <si>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25.09.2014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</si>
  <si>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24.09.14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</si>
</sst>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13" xfId="2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3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3" xfId="22" applyNumberFormat="1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13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3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9" fontId="7" fillId="0" borderId="13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3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3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3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3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9"/>
      <sheetName val="депозит"/>
      <sheetName val="залишки  (2)"/>
      <sheetName val="надх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жовтень"/>
      <sheetName val="листопад"/>
      <sheetName val="Лист1"/>
      <sheetName val="грудень"/>
    </sheetNames>
    <sheetDataSet>
      <sheetData sheetId="12">
        <row r="6">
          <cell r="G6">
            <v>121698401.73</v>
          </cell>
        </row>
        <row r="8">
          <cell r="G8">
            <v>0</v>
          </cell>
        </row>
        <row r="9">
          <cell r="G9">
            <v>9020596.530000001</v>
          </cell>
        </row>
        <row r="10">
          <cell r="G10">
            <v>112677805.2</v>
          </cell>
        </row>
      </sheetData>
      <sheetData sheetId="13">
        <row r="52">
          <cell r="B52">
            <v>11990888.079999998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140" sqref="D140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07" t="s">
        <v>276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177" t="s">
        <v>224</v>
      </c>
      <c r="E3" s="177"/>
      <c r="F3" s="178" t="s">
        <v>107</v>
      </c>
      <c r="G3" s="179"/>
      <c r="H3" s="179"/>
      <c r="I3" s="179"/>
      <c r="J3" s="179"/>
      <c r="K3" s="179"/>
      <c r="L3" s="180"/>
      <c r="M3" s="175" t="s">
        <v>225</v>
      </c>
      <c r="N3" s="213" t="s">
        <v>272</v>
      </c>
      <c r="O3" s="213"/>
      <c r="P3" s="213"/>
      <c r="Q3" s="213"/>
      <c r="R3" s="213"/>
    </row>
    <row r="4" spans="1:18" ht="22.5" customHeight="1">
      <c r="A4" s="209"/>
      <c r="B4" s="211"/>
      <c r="C4" s="176"/>
      <c r="D4" s="177"/>
      <c r="E4" s="177"/>
      <c r="F4" s="214" t="s">
        <v>116</v>
      </c>
      <c r="G4" s="201" t="s">
        <v>269</v>
      </c>
      <c r="H4" s="203" t="s">
        <v>270</v>
      </c>
      <c r="I4" s="199" t="s">
        <v>188</v>
      </c>
      <c r="J4" s="205" t="s">
        <v>189</v>
      </c>
      <c r="K4" s="192" t="s">
        <v>274</v>
      </c>
      <c r="L4" s="193"/>
      <c r="M4" s="212"/>
      <c r="N4" s="197" t="s">
        <v>277</v>
      </c>
      <c r="O4" s="199" t="s">
        <v>136</v>
      </c>
      <c r="P4" s="199" t="s">
        <v>135</v>
      </c>
      <c r="Q4" s="192" t="s">
        <v>275</v>
      </c>
      <c r="R4" s="193"/>
    </row>
    <row r="5" spans="1:18" ht="82.5" customHeight="1">
      <c r="A5" s="210"/>
      <c r="B5" s="211"/>
      <c r="C5" s="176"/>
      <c r="D5" s="150" t="s">
        <v>209</v>
      </c>
      <c r="E5" s="158" t="s">
        <v>268</v>
      </c>
      <c r="F5" s="215"/>
      <c r="G5" s="202"/>
      <c r="H5" s="204"/>
      <c r="I5" s="200"/>
      <c r="J5" s="206"/>
      <c r="K5" s="194"/>
      <c r="L5" s="195"/>
      <c r="M5" s="151" t="s">
        <v>271</v>
      </c>
      <c r="N5" s="198"/>
      <c r="O5" s="200"/>
      <c r="P5" s="200"/>
      <c r="Q5" s="194"/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351358.79999999993</v>
      </c>
      <c r="F8" s="22">
        <f>F10+F19+F33+F56+F68+F30</f>
        <v>336653.14999999997</v>
      </c>
      <c r="G8" s="22">
        <f aca="true" t="shared" si="0" ref="G8:G30">F8-E8</f>
        <v>-14705.649999999965</v>
      </c>
      <c r="H8" s="51">
        <f>F8/E8*100</f>
        <v>95.8146344989794</v>
      </c>
      <c r="I8" s="36">
        <f aca="true" t="shared" si="1" ref="I8:I17">F8-D8</f>
        <v>-151823.15000000002</v>
      </c>
      <c r="J8" s="36">
        <f aca="true" t="shared" si="2" ref="J8:J14">F8/D8*100</f>
        <v>68.91903455705015</v>
      </c>
      <c r="K8" s="36">
        <f>F8-344287.2</f>
        <v>-7634.050000000047</v>
      </c>
      <c r="L8" s="136">
        <f>F8/344287.2</f>
        <v>0.9778265064748267</v>
      </c>
      <c r="M8" s="22">
        <f>M10+M19+M33+M56+M68+M30</f>
        <v>39345.409999999996</v>
      </c>
      <c r="N8" s="22">
        <f>N10+N19+N33+N56+N68+N30</f>
        <v>27717.379999999997</v>
      </c>
      <c r="O8" s="36">
        <f aca="true" t="shared" si="3" ref="O8:O71">N8-M8</f>
        <v>-11628.029999999999</v>
      </c>
      <c r="P8" s="36">
        <f>F8/M8*100</f>
        <v>855.635129993562</v>
      </c>
      <c r="Q8" s="36">
        <f>N8-37510.4</f>
        <v>-9793.020000000004</v>
      </c>
      <c r="R8" s="134">
        <f>N8/37510.4</f>
        <v>0.7389252047432178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275454.8</v>
      </c>
      <c r="G9" s="22">
        <f t="shared" si="0"/>
        <v>275454.8</v>
      </c>
      <c r="H9" s="20"/>
      <c r="I9" s="56">
        <f t="shared" si="1"/>
        <v>-111558.40000000002</v>
      </c>
      <c r="J9" s="56">
        <f t="shared" si="2"/>
        <v>71.17452324623552</v>
      </c>
      <c r="K9" s="56"/>
      <c r="L9" s="135"/>
      <c r="M9" s="20">
        <f>M10+M17</f>
        <v>32323.5</v>
      </c>
      <c r="N9" s="20">
        <f>N10+N17</f>
        <v>25176.369999999995</v>
      </c>
      <c r="O9" s="36">
        <f t="shared" si="3"/>
        <v>-7147.130000000005</v>
      </c>
      <c r="P9" s="56">
        <f>F9/M9*100</f>
        <v>852.1812303741859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275454.8</v>
      </c>
      <c r="G10" s="49">
        <f t="shared" si="0"/>
        <v>-12004.700000000012</v>
      </c>
      <c r="H10" s="40">
        <f aca="true" t="shared" si="4" ref="H10:H17">F10/E10*100</f>
        <v>95.82386388343402</v>
      </c>
      <c r="I10" s="56">
        <f t="shared" si="1"/>
        <v>-111558.40000000002</v>
      </c>
      <c r="J10" s="56">
        <f t="shared" si="2"/>
        <v>71.17452324623552</v>
      </c>
      <c r="K10" s="141">
        <f>F10-272674.4</f>
        <v>2780.399999999965</v>
      </c>
      <c r="L10" s="142">
        <f>F10/272674.4</f>
        <v>1.0101967768151319</v>
      </c>
      <c r="M10" s="40">
        <f>E10-серпень!E10</f>
        <v>32323.5</v>
      </c>
      <c r="N10" s="40">
        <f>F10-серпень!F10</f>
        <v>25176.369999999995</v>
      </c>
      <c r="O10" s="53">
        <f t="shared" si="3"/>
        <v>-7147.130000000005</v>
      </c>
      <c r="P10" s="56">
        <f aca="true" t="shared" si="5" ref="P10:P17">N10/M10*100</f>
        <v>77.88874967129176</v>
      </c>
      <c r="Q10" s="141">
        <f>N10-29967.1</f>
        <v>-4790.730000000003</v>
      </c>
      <c r="R10" s="142">
        <f>N10/29967.1</f>
        <v>0.8401336799356627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-415.95</v>
      </c>
      <c r="G19" s="49">
        <f t="shared" si="0"/>
        <v>-1472.55</v>
      </c>
      <c r="H19" s="40">
        <f aca="true" t="shared" si="6" ref="H19:H29">F19/E19*100</f>
        <v>-39.36683702441795</v>
      </c>
      <c r="I19" s="56">
        <f aca="true" t="shared" si="7" ref="I19:I29">F19-D19</f>
        <v>-1415.95</v>
      </c>
      <c r="J19" s="56">
        <f aca="true" t="shared" si="8" ref="J19:J29">F19/D19*100</f>
        <v>-41.595</v>
      </c>
      <c r="K19" s="167">
        <f>F19-6479.1</f>
        <v>-6895.05</v>
      </c>
      <c r="L19" s="168">
        <f>F19/6479.1</f>
        <v>-0.06419873130527387</v>
      </c>
      <c r="M19" s="40">
        <f>E19-серпень!E19</f>
        <v>11</v>
      </c>
      <c r="N19" s="40">
        <f>F19-серпень!F19</f>
        <v>-488.65999999999997</v>
      </c>
      <c r="O19" s="53">
        <f t="shared" si="3"/>
        <v>-499.65999999999997</v>
      </c>
      <c r="P19" s="56">
        <f aca="true" t="shared" si="9" ref="P19:P29">N19/M19*100</f>
        <v>-4442.363636363636</v>
      </c>
      <c r="Q19" s="56">
        <f>N19-362</f>
        <v>-850.66</v>
      </c>
      <c r="R19" s="135">
        <f>N19/362</f>
        <v>-1.349889502762431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84.12</v>
      </c>
      <c r="G29" s="49">
        <f t="shared" si="0"/>
        <v>-712.48</v>
      </c>
      <c r="H29" s="40">
        <f t="shared" si="6"/>
        <v>10.559879487823249</v>
      </c>
      <c r="I29" s="56">
        <f t="shared" si="7"/>
        <v>-845.88</v>
      </c>
      <c r="J29" s="56">
        <f t="shared" si="8"/>
        <v>9.045161290322582</v>
      </c>
      <c r="K29" s="148">
        <f>F29-2860</f>
        <v>-2775.88</v>
      </c>
      <c r="L29" s="149">
        <f>F29/2860</f>
        <v>0.029412587412587413</v>
      </c>
      <c r="M29" s="40">
        <f>E29-серпень!E29</f>
        <v>11</v>
      </c>
      <c r="N29" s="40">
        <f>F29-серпень!F29</f>
        <v>-489</v>
      </c>
      <c r="O29" s="148">
        <f t="shared" si="3"/>
        <v>-500</v>
      </c>
      <c r="P29" s="145">
        <f t="shared" si="9"/>
        <v>-4445.454545454545</v>
      </c>
      <c r="Q29" s="148">
        <f>N29-361.95</f>
        <v>-850.95</v>
      </c>
      <c r="R29" s="149">
        <f>N29/361.95</f>
        <v>-1.3510153336096147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</v>
      </c>
      <c r="F33" s="169">
        <v>56773.5</v>
      </c>
      <c r="G33" s="49">
        <f aca="true" t="shared" si="14" ref="G33:G72">F33-E33</f>
        <v>-928.5999999999985</v>
      </c>
      <c r="H33" s="40">
        <f aca="true" t="shared" si="15" ref="H33:H67">F33/E33*100</f>
        <v>98.3906998185508</v>
      </c>
      <c r="I33" s="56">
        <f>F33-D33</f>
        <v>-36792.5</v>
      </c>
      <c r="J33" s="56">
        <f aca="true" t="shared" si="16" ref="J33:J72">F33/D33*100</f>
        <v>60.67748968642456</v>
      </c>
      <c r="K33" s="141">
        <f>F33-60413.2</f>
        <v>-3639.699999999997</v>
      </c>
      <c r="L33" s="142">
        <f>F33/60413.2</f>
        <v>0.9397532327372164</v>
      </c>
      <c r="M33" s="40">
        <f>E33-серпень!E33</f>
        <v>6401.309999999998</v>
      </c>
      <c r="N33" s="40">
        <f>F33-серпень!F33</f>
        <v>2480.760000000002</v>
      </c>
      <c r="O33" s="53">
        <f t="shared" si="3"/>
        <v>-3920.5499999999956</v>
      </c>
      <c r="P33" s="56">
        <f aca="true" t="shared" si="17" ref="P33:P67">N33/M33*100</f>
        <v>38.753942552383855</v>
      </c>
      <c r="Q33" s="141">
        <f>N33-6624.9</f>
        <v>-4144.139999999998</v>
      </c>
      <c r="R33" s="142">
        <f>N33/6624.9</f>
        <v>0.3744599918489339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42238.7</v>
      </c>
      <c r="G55" s="144">
        <f t="shared" si="14"/>
        <v>-233.13999999999942</v>
      </c>
      <c r="H55" s="146">
        <f t="shared" si="15"/>
        <v>99.45107158060495</v>
      </c>
      <c r="I55" s="145">
        <f t="shared" si="18"/>
        <v>-28027.300000000003</v>
      </c>
      <c r="J55" s="145">
        <f t="shared" si="16"/>
        <v>60.112572225542934</v>
      </c>
      <c r="K55" s="148">
        <f>F55-43813.51</f>
        <v>-1574.810000000005</v>
      </c>
      <c r="L55" s="149">
        <f>F55/43813.51</f>
        <v>0.9640565204659475</v>
      </c>
      <c r="M55" s="40">
        <f>E55-серпень!E55</f>
        <v>4681.3499999999985</v>
      </c>
      <c r="N55" s="40">
        <f>F55-серпень!F55</f>
        <v>2098.4300000000003</v>
      </c>
      <c r="O55" s="148">
        <f t="shared" si="3"/>
        <v>-2582.9199999999983</v>
      </c>
      <c r="P55" s="148">
        <f t="shared" si="17"/>
        <v>44.82531748320465</v>
      </c>
      <c r="Q55" s="160">
        <f>N55-4961.43</f>
        <v>-2863</v>
      </c>
      <c r="R55" s="161">
        <f>N55/7961.43</f>
        <v>0.26357450859958576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5113.5</v>
      </c>
      <c r="F56" s="169">
        <v>4836.2</v>
      </c>
      <c r="G56" s="49">
        <f t="shared" si="14"/>
        <v>-277.3000000000002</v>
      </c>
      <c r="H56" s="40">
        <f t="shared" si="15"/>
        <v>94.57709983377333</v>
      </c>
      <c r="I56" s="56">
        <f t="shared" si="18"/>
        <v>-2023.8000000000002</v>
      </c>
      <c r="J56" s="56">
        <f t="shared" si="16"/>
        <v>70.49854227405248</v>
      </c>
      <c r="K56" s="56">
        <f>F56-4694.5</f>
        <v>141.69999999999982</v>
      </c>
      <c r="L56" s="135">
        <f>F56/4694.5</f>
        <v>1.0301842581744594</v>
      </c>
      <c r="M56" s="40">
        <f>E56-серпень!E56</f>
        <v>609.6000000000004</v>
      </c>
      <c r="N56" s="40">
        <f>F56-серпень!F56</f>
        <v>548.9099999999999</v>
      </c>
      <c r="O56" s="53">
        <f t="shared" si="3"/>
        <v>-60.69000000000051</v>
      </c>
      <c r="P56" s="56">
        <f t="shared" si="17"/>
        <v>90.04429133858261</v>
      </c>
      <c r="Q56" s="56">
        <f>N56-556.2</f>
        <v>-7.290000000000191</v>
      </c>
      <c r="R56" s="135">
        <f>N56/556.2</f>
        <v>0.9868932038834948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F68-1</f>
        <v>0.29000000000000004</v>
      </c>
      <c r="L68" s="135"/>
      <c r="M68" s="40">
        <f>E68-серпень!E68</f>
        <v>0</v>
      </c>
      <c r="N68" s="40">
        <f>F68-серпень!F68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9670.66</v>
      </c>
      <c r="G74" s="50">
        <f aca="true" t="shared" si="24" ref="G74:G92">F74-E74</f>
        <v>-2509.34</v>
      </c>
      <c r="H74" s="51">
        <f aca="true" t="shared" si="25" ref="H74:H87">F74/E74*100</f>
        <v>79.39786535303777</v>
      </c>
      <c r="I74" s="36">
        <f aca="true" t="shared" si="26" ref="I74:I92">F74-D74</f>
        <v>-8687.64</v>
      </c>
      <c r="J74" s="36">
        <f aca="true" t="shared" si="27" ref="J74:J92">F74/D74*100</f>
        <v>52.67731761655491</v>
      </c>
      <c r="K74" s="36">
        <f>F74-14585.4</f>
        <v>-4914.74</v>
      </c>
      <c r="L74" s="136">
        <f>F74/14585.4</f>
        <v>0.6630370096123521</v>
      </c>
      <c r="M74" s="22">
        <f>M77+M86+M88+M89+M94+M95+M96+M97+M99+M87+M104</f>
        <v>1580.5</v>
      </c>
      <c r="N74" s="22">
        <f>N77+N86+N88+N89+N94+N95+N96+N97+N99+N32+N104+N87+N103</f>
        <v>1060.93</v>
      </c>
      <c r="O74" s="55">
        <f aca="true" t="shared" si="28" ref="O74:O92">N74-M74</f>
        <v>-519.5699999999999</v>
      </c>
      <c r="P74" s="36">
        <f>N74/M74*100</f>
        <v>67.12622587788675</v>
      </c>
      <c r="Q74" s="36">
        <f>N74-1622.9</f>
        <v>-561.97</v>
      </c>
      <c r="R74" s="136">
        <f>N74/1622.9</f>
        <v>0.6537248136052745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255.84</v>
      </c>
      <c r="G87" s="49">
        <f t="shared" si="24"/>
        <v>35.84</v>
      </c>
      <c r="H87" s="40">
        <f t="shared" si="25"/>
        <v>116.29090909090908</v>
      </c>
      <c r="I87" s="56">
        <f t="shared" si="26"/>
        <v>-244.16</v>
      </c>
      <c r="J87" s="56">
        <f t="shared" si="27"/>
        <v>51.168</v>
      </c>
      <c r="K87" s="56">
        <f>F87-210.3</f>
        <v>45.53999999999999</v>
      </c>
      <c r="L87" s="135">
        <f>F87/210.3</f>
        <v>1.2165477888730385</v>
      </c>
      <c r="M87" s="40">
        <f>E87-серпень!E87</f>
        <v>0</v>
      </c>
      <c r="N87" s="40">
        <f>F87-серпень!F87</f>
        <v>0.06999999999999318</v>
      </c>
      <c r="O87" s="53">
        <f t="shared" si="28"/>
        <v>0.06999999999999318</v>
      </c>
      <c r="P87" s="56" t="e">
        <f t="shared" si="29"/>
        <v>#DIV/0!</v>
      </c>
      <c r="Q87" s="56">
        <f>N87-12.4</f>
        <v>-12.330000000000007</v>
      </c>
      <c r="R87" s="135">
        <f>N87/12.4</f>
        <v>0.00564516129032203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97.5</v>
      </c>
      <c r="G89" s="49">
        <f t="shared" si="24"/>
        <v>-31.5</v>
      </c>
      <c r="H89" s="40">
        <f>F89/E89*100</f>
        <v>75.5813953488372</v>
      </c>
      <c r="I89" s="56">
        <f t="shared" si="26"/>
        <v>-77.5</v>
      </c>
      <c r="J89" s="56">
        <f t="shared" si="27"/>
        <v>55.714285714285715</v>
      </c>
      <c r="K89" s="56">
        <f>F89-123.2</f>
        <v>-25.700000000000003</v>
      </c>
      <c r="L89" s="135">
        <f>F89/123.2</f>
        <v>0.7913961038961039</v>
      </c>
      <c r="M89" s="40">
        <f>E89-серпень!E89</f>
        <v>15</v>
      </c>
      <c r="N89" s="40">
        <f>F89-серпень!F89</f>
        <v>15.14</v>
      </c>
      <c r="O89" s="53">
        <f t="shared" si="28"/>
        <v>0.14000000000000057</v>
      </c>
      <c r="P89" s="56">
        <f>N89/M89*100</f>
        <v>100.93333333333334</v>
      </c>
      <c r="Q89" s="56">
        <f>N89-14.8</f>
        <v>0.33999999999999986</v>
      </c>
      <c r="R89" s="135">
        <f>N89/14.8</f>
        <v>1.022972972972973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763.9</v>
      </c>
      <c r="G96" s="49">
        <f t="shared" si="31"/>
        <v>-30.600000000000023</v>
      </c>
      <c r="H96" s="40">
        <f>F96/E96*100</f>
        <v>96.14852108244179</v>
      </c>
      <c r="I96" s="56">
        <f t="shared" si="32"/>
        <v>-436.1</v>
      </c>
      <c r="J96" s="56">
        <f>F96/D96*100</f>
        <v>63.65833333333333</v>
      </c>
      <c r="K96" s="56">
        <f>F96-795.5</f>
        <v>-31.600000000000023</v>
      </c>
      <c r="L96" s="135">
        <f>F96/795.5</f>
        <v>0.9602765556253928</v>
      </c>
      <c r="M96" s="40">
        <f>E96-серпень!E96</f>
        <v>100</v>
      </c>
      <c r="N96" s="40">
        <f>F96-серпень!F96</f>
        <v>78.24000000000001</v>
      </c>
      <c r="O96" s="53">
        <f t="shared" si="33"/>
        <v>-21.75999999999999</v>
      </c>
      <c r="P96" s="56">
        <f>N96/M96*100</f>
        <v>78.24000000000001</v>
      </c>
      <c r="Q96" s="56">
        <f>N96-102.1</f>
        <v>-23.859999999999985</v>
      </c>
      <c r="R96" s="135">
        <f>N96/102.1</f>
        <v>0.7663075416258571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3040.4</v>
      </c>
      <c r="G99" s="49">
        <f t="shared" si="31"/>
        <v>33.40000000000009</v>
      </c>
      <c r="H99" s="40">
        <f>F99/E99*100</f>
        <v>101.1107416029265</v>
      </c>
      <c r="I99" s="56">
        <f t="shared" si="32"/>
        <v>-1532.2999999999997</v>
      </c>
      <c r="J99" s="56">
        <f>F99/D99*100</f>
        <v>66.49025739716143</v>
      </c>
      <c r="K99" s="56">
        <f>F99-3411.3</f>
        <v>-370.9000000000001</v>
      </c>
      <c r="L99" s="135">
        <f>F99/3411.3</f>
        <v>0.8912731216838156</v>
      </c>
      <c r="M99" s="40">
        <f>E99-серпень!E99</f>
        <v>410</v>
      </c>
      <c r="N99" s="40">
        <f>F99-серпень!F99</f>
        <v>337.74000000000024</v>
      </c>
      <c r="O99" s="53">
        <f t="shared" si="33"/>
        <v>-72.25999999999976</v>
      </c>
      <c r="P99" s="56">
        <f>N99/M99*100</f>
        <v>82.37560975609762</v>
      </c>
      <c r="Q99" s="56">
        <f>N99-432.2</f>
        <v>-94.45999999999975</v>
      </c>
      <c r="R99" s="135">
        <f>N99/432.2</f>
        <v>0.7814437760296165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753.7</v>
      </c>
      <c r="G102" s="144"/>
      <c r="H102" s="146"/>
      <c r="I102" s="145"/>
      <c r="J102" s="145"/>
      <c r="K102" s="148">
        <f>F102-545.2</f>
        <v>208.5</v>
      </c>
      <c r="L102" s="149">
        <f>F102/545.2</f>
        <v>1.3824284666177549</v>
      </c>
      <c r="M102" s="40">
        <f>E102-серпень!E102</f>
        <v>0</v>
      </c>
      <c r="N102" s="40">
        <f>F102-серпень!F102</f>
        <v>117.90000000000009</v>
      </c>
      <c r="O102" s="53"/>
      <c r="P102" s="60"/>
      <c r="Q102" s="60">
        <f>N102-124.1</f>
        <v>-6.199999999999903</v>
      </c>
      <c r="R102" s="138">
        <f>N102/124.1</f>
        <v>0.950040290088639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-47.980000000000004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17.52</v>
      </c>
      <c r="G105" s="49">
        <f>F105-E105</f>
        <v>-6.68</v>
      </c>
      <c r="H105" s="40">
        <f>F105/E105*100</f>
        <v>72.39669421487604</v>
      </c>
      <c r="I105" s="56">
        <f t="shared" si="34"/>
        <v>-27.48</v>
      </c>
      <c r="J105" s="56">
        <f aca="true" t="shared" si="36" ref="J105:J110">F105/D105*100</f>
        <v>38.93333333333333</v>
      </c>
      <c r="K105" s="56">
        <f>F105-13.4</f>
        <v>4.119999999999999</v>
      </c>
      <c r="L105" s="135">
        <f>F105/13.4</f>
        <v>1.3074626865671641</v>
      </c>
      <c r="M105" s="40">
        <f>E105-серпень!E105</f>
        <v>3</v>
      </c>
      <c r="N105" s="40">
        <f>F105-серпень!F105</f>
        <v>0.28999999999999915</v>
      </c>
      <c r="O105" s="53">
        <f t="shared" si="35"/>
        <v>-2.710000000000001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363562.99999999994</v>
      </c>
      <c r="F107" s="22">
        <f>F8+F74+F105+F106</f>
        <v>346341.69999999995</v>
      </c>
      <c r="G107" s="50">
        <f>F107-E107</f>
        <v>-17221.29999999999</v>
      </c>
      <c r="H107" s="51">
        <f>F107/E107*100</f>
        <v>95.26318684794659</v>
      </c>
      <c r="I107" s="36">
        <f t="shared" si="34"/>
        <v>-160537.90000000002</v>
      </c>
      <c r="J107" s="36">
        <f t="shared" si="36"/>
        <v>68.32819864914666</v>
      </c>
      <c r="K107" s="36">
        <f>F107-358888.5</f>
        <v>-12546.800000000047</v>
      </c>
      <c r="L107" s="136">
        <f>F107/358888.5</f>
        <v>0.9650398382784624</v>
      </c>
      <c r="M107" s="22">
        <f>M8+M74+M105+M106</f>
        <v>40928.909999999996</v>
      </c>
      <c r="N107" s="22">
        <f>N8+N74+N105+N106</f>
        <v>28778.6</v>
      </c>
      <c r="O107" s="55">
        <f t="shared" si="35"/>
        <v>-12150.309999999998</v>
      </c>
      <c r="P107" s="36">
        <f>N107/M107*100</f>
        <v>70.31362428171188</v>
      </c>
      <c r="Q107" s="36">
        <f>N107-39133.2</f>
        <v>-10354.599999999999</v>
      </c>
      <c r="R107" s="136">
        <f>N107/39133.2</f>
        <v>0.7354011427636892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288254</v>
      </c>
      <c r="F108" s="71">
        <f>F10-F18+F96</f>
        <v>276218.7</v>
      </c>
      <c r="G108" s="71">
        <f>G10-G18+G96</f>
        <v>-12035.300000000012</v>
      </c>
      <c r="H108" s="72">
        <f>F108/E108*100</f>
        <v>95.82475871974023</v>
      </c>
      <c r="I108" s="52">
        <f t="shared" si="34"/>
        <v>-111994.5</v>
      </c>
      <c r="J108" s="52">
        <f t="shared" si="36"/>
        <v>71.15129006432548</v>
      </c>
      <c r="K108" s="52">
        <f>F108-273558.9</f>
        <v>2659.7999999999884</v>
      </c>
      <c r="L108" s="137">
        <f>F108/273558.9</f>
        <v>1.0097229518030668</v>
      </c>
      <c r="M108" s="71">
        <f>M10-M18+M96</f>
        <v>32423.5</v>
      </c>
      <c r="N108" s="71">
        <f>N10-N18+N96</f>
        <v>25254.609999999997</v>
      </c>
      <c r="O108" s="53">
        <f t="shared" si="35"/>
        <v>-7168.890000000003</v>
      </c>
      <c r="P108" s="52">
        <f>N108/M108*100</f>
        <v>77.88983299150307</v>
      </c>
      <c r="Q108" s="52">
        <f>N108-30069.2</f>
        <v>-4814.590000000004</v>
      </c>
      <c r="R108" s="137">
        <f>N108/30069.2</f>
        <v>0.8398830032059382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75308.99999999994</v>
      </c>
      <c r="F109" s="71">
        <f>F107-F108</f>
        <v>70122.99999999994</v>
      </c>
      <c r="G109" s="62">
        <f>F109-E109</f>
        <v>-5186</v>
      </c>
      <c r="H109" s="72">
        <f>F109/E109*100</f>
        <v>93.11370486927193</v>
      </c>
      <c r="I109" s="52">
        <f t="shared" si="34"/>
        <v>-48543.40000000002</v>
      </c>
      <c r="J109" s="52">
        <f t="shared" si="36"/>
        <v>59.09254852258093</v>
      </c>
      <c r="K109" s="52">
        <f>F109-85329.7</f>
        <v>-15206.700000000055</v>
      </c>
      <c r="L109" s="137">
        <f>F109/85329.7</f>
        <v>0.8217888964803572</v>
      </c>
      <c r="M109" s="71">
        <f>M107-M108</f>
        <v>8505.409999999996</v>
      </c>
      <c r="N109" s="71">
        <f>N107-N108</f>
        <v>3523.9900000000016</v>
      </c>
      <c r="O109" s="53">
        <f t="shared" si="35"/>
        <v>-4981.419999999995</v>
      </c>
      <c r="P109" s="52">
        <f>N109/M109*100</f>
        <v>41.43233541945659</v>
      </c>
      <c r="Q109" s="52">
        <f>N109-9064</f>
        <v>-5540.009999999998</v>
      </c>
      <c r="R109" s="137">
        <f>N109/9064</f>
        <v>0.3887897175639896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276218.7</v>
      </c>
      <c r="G110" s="111">
        <f>F110-E110</f>
        <v>-6665.399999999965</v>
      </c>
      <c r="H110" s="72">
        <f>F110/E110*100</f>
        <v>97.64377001040356</v>
      </c>
      <c r="I110" s="81">
        <f t="shared" si="34"/>
        <v>-111994.5</v>
      </c>
      <c r="J110" s="52">
        <f t="shared" si="36"/>
        <v>71.15129006432548</v>
      </c>
      <c r="K110" s="52"/>
      <c r="L110" s="137"/>
      <c r="M110" s="72">
        <f>E110-серпень!E110</f>
        <v>32423.49999999997</v>
      </c>
      <c r="N110" s="71">
        <f>N108</f>
        <v>25254.609999999997</v>
      </c>
      <c r="O110" s="63">
        <f t="shared" si="35"/>
        <v>-7168.889999999974</v>
      </c>
      <c r="P110" s="52">
        <f>N110/M110*100</f>
        <v>77.88983299150314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-0.74</v>
      </c>
      <c r="G114" s="49">
        <f aca="true" t="shared" si="37" ref="G114:G126">F114-E114</f>
        <v>-0.74</v>
      </c>
      <c r="H114" s="40"/>
      <c r="I114" s="60">
        <f aca="true" t="shared" si="38" ref="I114:I125">F114-D114</f>
        <v>-0.74</v>
      </c>
      <c r="J114" s="60"/>
      <c r="K114" s="60">
        <f>F114-21.5</f>
        <v>-22.24</v>
      </c>
      <c r="L114" s="138">
        <f>F114/21.5</f>
        <v>-0.03441860465116279</v>
      </c>
      <c r="M114" s="40">
        <f>E114-серпень!E114</f>
        <v>0</v>
      </c>
      <c r="N114" s="40">
        <f>F114-серпень!F114</f>
        <v>0.21999999999999997</v>
      </c>
      <c r="O114" s="53"/>
      <c r="P114" s="60"/>
      <c r="Q114" s="60">
        <f>N114-0.9</f>
        <v>-0.68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1095</v>
      </c>
      <c r="G115" s="49">
        <f t="shared" si="37"/>
        <v>-1584.6</v>
      </c>
      <c r="H115" s="40">
        <f aca="true" t="shared" si="39" ref="H115:H126">F115/E115*100</f>
        <v>40.86430810568742</v>
      </c>
      <c r="I115" s="60">
        <f t="shared" si="38"/>
        <v>-2576.5</v>
      </c>
      <c r="J115" s="60">
        <f aca="true" t="shared" si="40" ref="J115:J121">F115/D115*100</f>
        <v>29.824322483998365</v>
      </c>
      <c r="K115" s="60">
        <f>F115-3077.6</f>
        <v>-1982.6</v>
      </c>
      <c r="L115" s="138">
        <f>F115/3077.6</f>
        <v>0.3557967247205615</v>
      </c>
      <c r="M115" s="40">
        <f>E115-серпень!E115</f>
        <v>327.5</v>
      </c>
      <c r="N115" s="40">
        <f>F115-серпень!F115</f>
        <v>109.48000000000002</v>
      </c>
      <c r="O115" s="53">
        <f aca="true" t="shared" si="41" ref="O115:O126">N115-M115</f>
        <v>-218.01999999999998</v>
      </c>
      <c r="P115" s="60">
        <f>N115/M115*100</f>
        <v>33.429007633587794</v>
      </c>
      <c r="Q115" s="60">
        <f>N115-150.5</f>
        <v>-41.01999999999998</v>
      </c>
      <c r="R115" s="138">
        <f>N115/150.5</f>
        <v>0.7274418604651164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236.19</v>
      </c>
      <c r="G116" s="49">
        <f t="shared" si="37"/>
        <v>35.69</v>
      </c>
      <c r="H116" s="40">
        <f t="shared" si="39"/>
        <v>117.8004987531172</v>
      </c>
      <c r="I116" s="60">
        <f t="shared" si="38"/>
        <v>-31.910000000000025</v>
      </c>
      <c r="J116" s="60">
        <f t="shared" si="40"/>
        <v>88.0977247295785</v>
      </c>
      <c r="K116" s="60">
        <f>F116-200.1</f>
        <v>36.09</v>
      </c>
      <c r="L116" s="138">
        <f>F116/200.1</f>
        <v>1.180359820089955</v>
      </c>
      <c r="M116" s="40">
        <f>E116-серпень!E116</f>
        <v>22</v>
      </c>
      <c r="N116" s="40">
        <f>F116-серпень!F116</f>
        <v>28.870000000000005</v>
      </c>
      <c r="O116" s="53">
        <f t="shared" si="41"/>
        <v>6.8700000000000045</v>
      </c>
      <c r="P116" s="60">
        <f>N116/M116*100</f>
        <v>131.22727272727275</v>
      </c>
      <c r="Q116" s="60">
        <f>N116-24.4</f>
        <v>4.470000000000006</v>
      </c>
      <c r="R116" s="138">
        <f>N116/24.4</f>
        <v>1.1831967213114756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1330.45</v>
      </c>
      <c r="G117" s="62">
        <f t="shared" si="37"/>
        <v>-1549.6499999999999</v>
      </c>
      <c r="H117" s="72">
        <f t="shared" si="39"/>
        <v>46.194576577202184</v>
      </c>
      <c r="I117" s="61">
        <f t="shared" si="38"/>
        <v>-2609.1499999999996</v>
      </c>
      <c r="J117" s="61">
        <f t="shared" si="40"/>
        <v>33.77119504518225</v>
      </c>
      <c r="K117" s="61">
        <f>F117-3299.2</f>
        <v>-1968.7499999999998</v>
      </c>
      <c r="L117" s="139">
        <f>F117/3299.2</f>
        <v>0.4032644277400582</v>
      </c>
      <c r="M117" s="62">
        <f>M115+M116+M114</f>
        <v>349.5</v>
      </c>
      <c r="N117" s="38">
        <f>SUM(N114:N116)</f>
        <v>138.57000000000002</v>
      </c>
      <c r="O117" s="61">
        <f t="shared" si="41"/>
        <v>-210.92999999999998</v>
      </c>
      <c r="P117" s="61">
        <f>N117/M117*100</f>
        <v>39.6480686695279</v>
      </c>
      <c r="Q117" s="61">
        <f>N117-175.8</f>
        <v>-37.22999999999999</v>
      </c>
      <c r="R117" s="139">
        <f>N117/175.8</f>
        <v>0.7882252559726963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295.6</v>
      </c>
      <c r="G119" s="49">
        <f t="shared" si="37"/>
        <v>108.10000000000002</v>
      </c>
      <c r="H119" s="40">
        <f t="shared" si="39"/>
        <v>157.65333333333336</v>
      </c>
      <c r="I119" s="60">
        <f t="shared" si="38"/>
        <v>28.400000000000034</v>
      </c>
      <c r="J119" s="60">
        <f t="shared" si="40"/>
        <v>110.62874251497009</v>
      </c>
      <c r="K119" s="60">
        <f>F119-174.4</f>
        <v>121.20000000000002</v>
      </c>
      <c r="L119" s="138">
        <f>F119/174.4</f>
        <v>1.694954128440367</v>
      </c>
      <c r="M119" s="40">
        <f>E119-серпень!E119</f>
        <v>5</v>
      </c>
      <c r="N119" s="40">
        <f>F119-серпень!F119</f>
        <v>6.800000000000011</v>
      </c>
      <c r="O119" s="53">
        <f>N119-M119</f>
        <v>1.8000000000000114</v>
      </c>
      <c r="P119" s="60">
        <f>N119/M119*100</f>
        <v>136.00000000000023</v>
      </c>
      <c r="Q119" s="60">
        <f>N119-1.4</f>
        <v>5.400000000000011</v>
      </c>
      <c r="R119" s="138">
        <f>N119/1.4</f>
        <v>4.857142857142866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59088.8</v>
      </c>
      <c r="G120" s="49">
        <f t="shared" si="37"/>
        <v>6576.200000000004</v>
      </c>
      <c r="H120" s="40">
        <f t="shared" si="39"/>
        <v>112.52308969656808</v>
      </c>
      <c r="I120" s="53">
        <f t="shared" si="38"/>
        <v>-12887.190000000002</v>
      </c>
      <c r="J120" s="60">
        <f t="shared" si="40"/>
        <v>82.09515423129297</v>
      </c>
      <c r="K120" s="60">
        <f>F120-50659.1</f>
        <v>8429.700000000004</v>
      </c>
      <c r="L120" s="138">
        <f>F120/50659.1</f>
        <v>1.1664005084969928</v>
      </c>
      <c r="M120" s="40">
        <f>E120-серпень!E120</f>
        <v>3100</v>
      </c>
      <c r="N120" s="40">
        <f>F120-серпень!F120</f>
        <v>2974.1700000000055</v>
      </c>
      <c r="O120" s="53">
        <f t="shared" si="41"/>
        <v>-125.82999999999447</v>
      </c>
      <c r="P120" s="60">
        <f aca="true" t="shared" si="42" ref="P120:P125">N120/M120*100</f>
        <v>95.94096774193567</v>
      </c>
      <c r="Q120" s="60">
        <f>N120-3034.9</f>
        <v>-60.72999999999456</v>
      </c>
      <c r="R120" s="138">
        <f>N120/3034.9</f>
        <v>0.979989455995257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2358.2</v>
      </c>
      <c r="G122" s="49">
        <f t="shared" si="37"/>
        <v>-10569.23</v>
      </c>
      <c r="H122" s="40">
        <f t="shared" si="39"/>
        <v>18.241831516395756</v>
      </c>
      <c r="I122" s="60">
        <f t="shared" si="38"/>
        <v>-20718.93</v>
      </c>
      <c r="J122" s="60">
        <f>F122/D122*100</f>
        <v>10.218775038317157</v>
      </c>
      <c r="K122" s="60">
        <f>F122-22303.9</f>
        <v>-19945.7</v>
      </c>
      <c r="L122" s="138">
        <f>F122/22303.9</f>
        <v>0.10573038795905647</v>
      </c>
      <c r="M122" s="40">
        <f>E122-серпень!E122</f>
        <v>3313.4299999999985</v>
      </c>
      <c r="N122" s="40">
        <f>F122-серпень!F122</f>
        <v>66.40999999999985</v>
      </c>
      <c r="O122" s="53">
        <f t="shared" si="41"/>
        <v>-3247.0199999999986</v>
      </c>
      <c r="P122" s="60">
        <f t="shared" si="42"/>
        <v>2.0042674811298227</v>
      </c>
      <c r="Q122" s="60">
        <f>N122-7566.7</f>
        <v>-7500.29</v>
      </c>
      <c r="R122" s="138">
        <f>N122/7566.7</f>
        <v>0.008776613318884038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941.06</v>
      </c>
      <c r="G123" s="49">
        <f t="shared" si="37"/>
        <v>-490.1600000000001</v>
      </c>
      <c r="H123" s="40">
        <f t="shared" si="39"/>
        <v>65.75229524461648</v>
      </c>
      <c r="I123" s="60">
        <f t="shared" si="38"/>
        <v>-1058.94</v>
      </c>
      <c r="J123" s="60">
        <f>F123/D123*100</f>
        <v>47.053</v>
      </c>
      <c r="K123" s="60">
        <f>F123-1660.3</f>
        <v>-719.24</v>
      </c>
      <c r="L123" s="138">
        <f>F123/1660.3</f>
        <v>0.5668011805095464</v>
      </c>
      <c r="M123" s="40">
        <f>E123-серпень!E123</f>
        <v>189.58999999999992</v>
      </c>
      <c r="N123" s="40">
        <f>F123-серпень!F123</f>
        <v>76.43999999999994</v>
      </c>
      <c r="O123" s="53">
        <f t="shared" si="41"/>
        <v>-113.14999999999998</v>
      </c>
      <c r="P123" s="60">
        <f t="shared" si="42"/>
        <v>40.31858220370271</v>
      </c>
      <c r="Q123" s="60">
        <f>N123-20.2</f>
        <v>56.23999999999994</v>
      </c>
      <c r="R123" s="138">
        <f>N123/20.2</f>
        <v>3.7841584158415813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64438.39</v>
      </c>
      <c r="G124" s="62">
        <f t="shared" si="37"/>
        <v>-4343.360000000001</v>
      </c>
      <c r="H124" s="72">
        <f t="shared" si="39"/>
        <v>93.68530169703446</v>
      </c>
      <c r="I124" s="61">
        <f t="shared" si="38"/>
        <v>-37631.93000000001</v>
      </c>
      <c r="J124" s="61">
        <f>F124/D124*100</f>
        <v>63.13136864859441</v>
      </c>
      <c r="K124" s="61">
        <f>F124-76087.4</f>
        <v>-11649.009999999995</v>
      </c>
      <c r="L124" s="139">
        <f>F124/76087.4</f>
        <v>0.8468996180707976</v>
      </c>
      <c r="M124" s="62">
        <f>M120+M121+M122+M123+M119</f>
        <v>6608.019999999999</v>
      </c>
      <c r="N124" s="62">
        <f>N120+N121+N122+N123+N119</f>
        <v>3123.870000000006</v>
      </c>
      <c r="O124" s="61">
        <f t="shared" si="41"/>
        <v>-3484.149999999993</v>
      </c>
      <c r="P124" s="61">
        <f t="shared" si="42"/>
        <v>47.27391866247388</v>
      </c>
      <c r="Q124" s="61">
        <f>N124-10790.5</f>
        <v>-7666.629999999994</v>
      </c>
      <c r="R124" s="139">
        <f>N124/10790.5</f>
        <v>0.28950187665075816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14.17</v>
      </c>
      <c r="G125" s="49">
        <f t="shared" si="37"/>
        <v>-12.99</v>
      </c>
      <c r="H125" s="40">
        <f t="shared" si="39"/>
        <v>52.17231222385862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E125-серпень!E125</f>
        <v>4</v>
      </c>
      <c r="N125" s="40">
        <f>F125-серпень!F125</f>
        <v>0</v>
      </c>
      <c r="O125" s="53">
        <f t="shared" si="41"/>
        <v>-4</v>
      </c>
      <c r="P125" s="60">
        <f t="shared" si="42"/>
        <v>0</v>
      </c>
      <c r="Q125" s="60">
        <f>N125-0</f>
        <v>0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7367.5</v>
      </c>
      <c r="G128" s="49">
        <f aca="true" t="shared" si="43" ref="G128:G135">F128-E128</f>
        <v>649</v>
      </c>
      <c r="H128" s="40">
        <f>F128/E128*100</f>
        <v>109.65989432164918</v>
      </c>
      <c r="I128" s="60">
        <f aca="true" t="shared" si="44" ref="I128:I135">F128-D128</f>
        <v>-1332.5</v>
      </c>
      <c r="J128" s="60">
        <f>F128/D128*100</f>
        <v>84.683908045977</v>
      </c>
      <c r="K128" s="60">
        <f>F128-8715.2</f>
        <v>-1347.7000000000007</v>
      </c>
      <c r="L128" s="138">
        <f>F128/8715.2</f>
        <v>0.8453621259408848</v>
      </c>
      <c r="M128" s="40">
        <f>E128-серпень!E128</f>
        <v>1</v>
      </c>
      <c r="N128" s="40">
        <f>F128-серпень!F128</f>
        <v>3.9799999999995634</v>
      </c>
      <c r="O128" s="53">
        <f aca="true" t="shared" si="45" ref="O128:O135">N128-M128</f>
        <v>2.9799999999995634</v>
      </c>
      <c r="P128" s="60">
        <f>N128/M128*100</f>
        <v>397.99999999995634</v>
      </c>
      <c r="Q128" s="60">
        <f>N128-35</f>
        <v>-31.020000000000437</v>
      </c>
      <c r="R128" s="162">
        <f>N128/35</f>
        <v>0.11371428571427324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0.89</v>
      </c>
      <c r="G129" s="49">
        <f t="shared" si="43"/>
        <v>0.89</v>
      </c>
      <c r="H129" s="40"/>
      <c r="I129" s="60">
        <f t="shared" si="44"/>
        <v>0.89</v>
      </c>
      <c r="J129" s="60"/>
      <c r="K129" s="60">
        <f>F129-1</f>
        <v>-0.10999999999999999</v>
      </c>
      <c r="L129" s="138">
        <f>F129/1</f>
        <v>0.89</v>
      </c>
      <c r="M129" s="40">
        <f>E129-серпень!E129</f>
        <v>0</v>
      </c>
      <c r="N129" s="40">
        <f>F129-серпень!F129</f>
        <v>0.040000000000000036</v>
      </c>
      <c r="O129" s="53">
        <f t="shared" si="45"/>
        <v>0.040000000000000036</v>
      </c>
      <c r="P129" s="60"/>
      <c r="Q129" s="60">
        <f>N129-0.7</f>
        <v>-0.6599999999999999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7402.04</v>
      </c>
      <c r="G130" s="62">
        <f t="shared" si="43"/>
        <v>649.1800000000003</v>
      </c>
      <c r="H130" s="72">
        <f>F130/E130*100</f>
        <v>109.61340824480294</v>
      </c>
      <c r="I130" s="61">
        <f t="shared" si="44"/>
        <v>-1348.6600000000008</v>
      </c>
      <c r="J130" s="61">
        <f>F130/D130*100</f>
        <v>84.58797581907731</v>
      </c>
      <c r="K130" s="61">
        <f>F130-8836.4</f>
        <v>-1434.3599999999997</v>
      </c>
      <c r="L130" s="139">
        <f>G130/8836.4</f>
        <v>0.0734665700964194</v>
      </c>
      <c r="M130" s="62">
        <f>M125+M128+M129+M127</f>
        <v>5</v>
      </c>
      <c r="N130" s="62">
        <f>N125+N128+N129+N127</f>
        <v>4.0199999999995635</v>
      </c>
      <c r="O130" s="61">
        <f t="shared" si="45"/>
        <v>-0.9800000000004365</v>
      </c>
      <c r="P130" s="61">
        <f>N130/M130*100</f>
        <v>80.39999999999127</v>
      </c>
      <c r="Q130" s="61">
        <f>N130-35.8</f>
        <v>-31.780000000000435</v>
      </c>
      <c r="R130" s="137">
        <f>N130/35.8</f>
        <v>0.11229050279328391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24</v>
      </c>
      <c r="G131" s="49">
        <f>F131-E131</f>
        <v>0.5500000000000007</v>
      </c>
      <c r="H131" s="40">
        <f>F131/E131*100</f>
        <v>102.3454157782516</v>
      </c>
      <c r="I131" s="60">
        <f>F131-D131</f>
        <v>-6</v>
      </c>
      <c r="J131" s="60">
        <f>F131/D131*100</f>
        <v>80</v>
      </c>
      <c r="K131" s="60">
        <f>F131-25.4</f>
        <v>-1.3999999999999986</v>
      </c>
      <c r="L131" s="138">
        <f>F131/25.4</f>
        <v>0.9448818897637796</v>
      </c>
      <c r="M131" s="40">
        <f>E131-серпень!E131</f>
        <v>7</v>
      </c>
      <c r="N131" s="40">
        <f>F131-серпень!F131</f>
        <v>1.379999999999999</v>
      </c>
      <c r="O131" s="53">
        <f>N131-M131</f>
        <v>-5.620000000000001</v>
      </c>
      <c r="P131" s="60">
        <f>N131/M131*100</f>
        <v>19.7142857142857</v>
      </c>
      <c r="Q131" s="60">
        <f>N131-7.6</f>
        <v>-6.220000000000001</v>
      </c>
      <c r="R131" s="138">
        <f>N131/7.6</f>
        <v>0.18157894736842092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73194.87999999999</v>
      </c>
      <c r="G134" s="50">
        <f t="shared" si="43"/>
        <v>-5243.280000000013</v>
      </c>
      <c r="H134" s="51">
        <f>F134/E134*100</f>
        <v>93.31539648558812</v>
      </c>
      <c r="I134" s="36">
        <f t="shared" si="44"/>
        <v>-41595.74000000002</v>
      </c>
      <c r="J134" s="36">
        <f>F134/D134*100</f>
        <v>63.76381624212848</v>
      </c>
      <c r="K134" s="36">
        <f>F134-88248.3</f>
        <v>-15053.420000000013</v>
      </c>
      <c r="L134" s="136">
        <f>F134/88248.3</f>
        <v>0.829419716867067</v>
      </c>
      <c r="M134" s="31">
        <f>M117+M131+M124+M130+M133+M132</f>
        <v>6969.519999999999</v>
      </c>
      <c r="N134" s="31">
        <f>N117+N131+N124+N130+N133+N132</f>
        <v>3267.840000000005</v>
      </c>
      <c r="O134" s="36">
        <f t="shared" si="45"/>
        <v>-3701.6799999999935</v>
      </c>
      <c r="P134" s="36">
        <f>N134/M134*100</f>
        <v>46.88759053708155</v>
      </c>
      <c r="Q134" s="36">
        <f>N134-11009.7</f>
        <v>-7741.859999999995</v>
      </c>
      <c r="R134" s="136">
        <f>N134/11009.7</f>
        <v>0.29681462710155637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442001.1599999999</v>
      </c>
      <c r="F135" s="31">
        <f>F107+F134</f>
        <v>419536.57999999996</v>
      </c>
      <c r="G135" s="50">
        <f t="shared" si="43"/>
        <v>-22464.579999999958</v>
      </c>
      <c r="H135" s="51">
        <f>F135/E135*100</f>
        <v>94.9175291757153</v>
      </c>
      <c r="I135" s="36">
        <f t="shared" si="44"/>
        <v>-202133.64</v>
      </c>
      <c r="J135" s="36">
        <f>F135/D135*100</f>
        <v>67.48539120950655</v>
      </c>
      <c r="K135" s="36">
        <f>F135-447136.8</f>
        <v>-27600.22000000003</v>
      </c>
      <c r="L135" s="136">
        <f>F135/447136.8</f>
        <v>0.9382734322024042</v>
      </c>
      <c r="M135" s="22">
        <f>M107+M134</f>
        <v>47898.42999999999</v>
      </c>
      <c r="N135" s="22">
        <f>N107+N134</f>
        <v>32046.440000000002</v>
      </c>
      <c r="O135" s="36">
        <f t="shared" si="45"/>
        <v>-15851.98999999999</v>
      </c>
      <c r="P135" s="36">
        <f>N135/M135*100</f>
        <v>66.90499041409083</v>
      </c>
      <c r="Q135" s="36">
        <f>N135-50142.9</f>
        <v>-18096.46</v>
      </c>
      <c r="R135" s="136">
        <f>N135/50142.9</f>
        <v>0.6391022457815564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4</v>
      </c>
      <c r="D137" s="4" t="s">
        <v>118</v>
      </c>
    </row>
    <row r="138" spans="2:17" ht="31.5">
      <c r="B138" s="78" t="s">
        <v>154</v>
      </c>
      <c r="C138" s="39">
        <f>IF(O107&lt;0,ABS(O107/C137),0)</f>
        <v>3037.5774999999994</v>
      </c>
      <c r="D138" s="4" t="s">
        <v>104</v>
      </c>
      <c r="G138" s="196"/>
      <c r="H138" s="196"/>
      <c r="I138" s="196"/>
      <c r="J138" s="196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41906</v>
      </c>
      <c r="D139" s="39">
        <v>551.4</v>
      </c>
      <c r="N139" s="191"/>
      <c r="O139" s="191"/>
    </row>
    <row r="140" spans="3:15" ht="15.75">
      <c r="C140" s="120">
        <v>41905</v>
      </c>
      <c r="D140" s="39">
        <v>1894</v>
      </c>
      <c r="F140" s="4" t="s">
        <v>166</v>
      </c>
      <c r="G140" s="187" t="s">
        <v>151</v>
      </c>
      <c r="H140" s="187"/>
      <c r="I140" s="115">
        <f>'[1]залишки  (2)'!$G$9/1000</f>
        <v>9020.59653</v>
      </c>
      <c r="J140" s="188" t="s">
        <v>161</v>
      </c>
      <c r="K140" s="188"/>
      <c r="L140" s="188"/>
      <c r="M140" s="188"/>
      <c r="N140" s="191"/>
      <c r="O140" s="191"/>
    </row>
    <row r="141" spans="3:15" ht="15.75">
      <c r="C141" s="120">
        <v>41904</v>
      </c>
      <c r="D141" s="39">
        <v>3105.1</v>
      </c>
      <c r="G141" s="189" t="s">
        <v>155</v>
      </c>
      <c r="H141" s="189"/>
      <c r="I141" s="112">
        <v>0</v>
      </c>
      <c r="J141" s="190" t="s">
        <v>162</v>
      </c>
      <c r="K141" s="190"/>
      <c r="L141" s="190"/>
      <c r="M141" s="190"/>
      <c r="N141" s="191"/>
      <c r="O141" s="191"/>
    </row>
    <row r="142" spans="7:13" ht="15.75" customHeight="1">
      <c r="G142" s="187" t="s">
        <v>148</v>
      </c>
      <c r="H142" s="187"/>
      <c r="I142" s="112">
        <f>'[1]залишки  (2)'!$G$8/1000</f>
        <v>0</v>
      </c>
      <c r="J142" s="188" t="s">
        <v>163</v>
      </c>
      <c r="K142" s="188"/>
      <c r="L142" s="188"/>
      <c r="M142" s="188"/>
    </row>
    <row r="143" spans="2:13" ht="18.75" customHeight="1">
      <c r="B143" s="185" t="s">
        <v>160</v>
      </c>
      <c r="C143" s="186"/>
      <c r="D143" s="117">
        <f>'[1]залишки  (2)'!$G$6/1000</f>
        <v>121698.40173</v>
      </c>
      <c r="E143" s="80"/>
      <c r="F143" s="100" t="s">
        <v>147</v>
      </c>
      <c r="G143" s="187" t="s">
        <v>149</v>
      </c>
      <c r="H143" s="187"/>
      <c r="I143" s="116">
        <f>'[1]залишки  (2)'!$G$10/1000</f>
        <v>112677.8052</v>
      </c>
      <c r="J143" s="188" t="s">
        <v>164</v>
      </c>
      <c r="K143" s="188"/>
      <c r="L143" s="188"/>
      <c r="M143" s="188"/>
    </row>
    <row r="144" spans="7:12" ht="9.75" customHeight="1">
      <c r="G144" s="181"/>
      <c r="H144" s="181"/>
      <c r="I144" s="98"/>
      <c r="J144" s="99"/>
      <c r="K144" s="99"/>
      <c r="L144" s="99"/>
    </row>
    <row r="145" spans="2:12" ht="22.5" customHeight="1">
      <c r="B145" s="182" t="s">
        <v>169</v>
      </c>
      <c r="C145" s="183"/>
      <c r="D145" s="119">
        <f>'[1]надх'!$B$52/1000</f>
        <v>11990.888079999999</v>
      </c>
      <c r="E145" s="77" t="s">
        <v>104</v>
      </c>
      <c r="G145" s="181"/>
      <c r="H145" s="181"/>
      <c r="I145" s="98"/>
      <c r="J145" s="99"/>
      <c r="K145" s="99"/>
      <c r="L145" s="99"/>
    </row>
    <row r="146" spans="4:15" ht="15.75">
      <c r="D146" s="114"/>
      <c r="N146" s="181"/>
      <c r="O146" s="181"/>
    </row>
    <row r="147" spans="4:15" ht="15.75">
      <c r="D147" s="113"/>
      <c r="I147" s="39"/>
      <c r="N147" s="184"/>
      <c r="O147" s="184"/>
    </row>
    <row r="148" spans="14:15" ht="15.75">
      <c r="N148" s="181"/>
      <c r="O148" s="181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7" t="s">
        <v>266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177" t="s">
        <v>224</v>
      </c>
      <c r="E3" s="177"/>
      <c r="F3" s="178" t="s">
        <v>107</v>
      </c>
      <c r="G3" s="179"/>
      <c r="H3" s="179"/>
      <c r="I3" s="179"/>
      <c r="J3" s="179"/>
      <c r="K3" s="179"/>
      <c r="L3" s="180"/>
      <c r="M3" s="175" t="s">
        <v>225</v>
      </c>
      <c r="N3" s="213" t="s">
        <v>261</v>
      </c>
      <c r="O3" s="213"/>
      <c r="P3" s="213"/>
      <c r="Q3" s="213"/>
      <c r="R3" s="213"/>
    </row>
    <row r="4" spans="1:18" ht="22.5" customHeight="1">
      <c r="A4" s="209"/>
      <c r="B4" s="211"/>
      <c r="C4" s="176"/>
      <c r="D4" s="177"/>
      <c r="E4" s="177"/>
      <c r="F4" s="214" t="s">
        <v>116</v>
      </c>
      <c r="G4" s="201" t="s">
        <v>259</v>
      </c>
      <c r="H4" s="203" t="s">
        <v>260</v>
      </c>
      <c r="I4" s="199" t="s">
        <v>188</v>
      </c>
      <c r="J4" s="205" t="s">
        <v>189</v>
      </c>
      <c r="K4" s="192" t="s">
        <v>264</v>
      </c>
      <c r="L4" s="193"/>
      <c r="M4" s="212"/>
      <c r="N4" s="197" t="s">
        <v>267</v>
      </c>
      <c r="O4" s="199" t="s">
        <v>136</v>
      </c>
      <c r="P4" s="199" t="s">
        <v>135</v>
      </c>
      <c r="Q4" s="192" t="s">
        <v>265</v>
      </c>
      <c r="R4" s="193"/>
    </row>
    <row r="5" spans="1:18" ht="82.5" customHeight="1">
      <c r="A5" s="210"/>
      <c r="B5" s="211"/>
      <c r="C5" s="176"/>
      <c r="D5" s="150" t="s">
        <v>209</v>
      </c>
      <c r="E5" s="158" t="s">
        <v>258</v>
      </c>
      <c r="F5" s="215"/>
      <c r="G5" s="202"/>
      <c r="H5" s="204"/>
      <c r="I5" s="200"/>
      <c r="J5" s="206"/>
      <c r="K5" s="194"/>
      <c r="L5" s="195"/>
      <c r="M5" s="151" t="s">
        <v>262</v>
      </c>
      <c r="N5" s="198"/>
      <c r="O5" s="200"/>
      <c r="P5" s="200"/>
      <c r="Q5" s="194"/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6"/>
      <c r="H138" s="196"/>
      <c r="I138" s="196"/>
      <c r="J138" s="196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1"/>
      <c r="O139" s="191"/>
    </row>
    <row r="140" spans="3:15" ht="15.75">
      <c r="C140" s="120">
        <v>41879</v>
      </c>
      <c r="D140" s="39">
        <v>3653.6</v>
      </c>
      <c r="F140" s="4" t="s">
        <v>166</v>
      </c>
      <c r="G140" s="187" t="s">
        <v>151</v>
      </c>
      <c r="H140" s="187"/>
      <c r="I140" s="115">
        <v>13829.857960000001</v>
      </c>
      <c r="J140" s="188" t="s">
        <v>161</v>
      </c>
      <c r="K140" s="188"/>
      <c r="L140" s="188"/>
      <c r="M140" s="188"/>
      <c r="N140" s="191"/>
      <c r="O140" s="191"/>
    </row>
    <row r="141" spans="3:15" ht="15.75">
      <c r="C141" s="120">
        <v>41878</v>
      </c>
      <c r="D141" s="39">
        <v>1194.3</v>
      </c>
      <c r="G141" s="189" t="s">
        <v>155</v>
      </c>
      <c r="H141" s="189"/>
      <c r="I141" s="112">
        <v>0</v>
      </c>
      <c r="J141" s="190" t="s">
        <v>162</v>
      </c>
      <c r="K141" s="190"/>
      <c r="L141" s="190"/>
      <c r="M141" s="190"/>
      <c r="N141" s="191"/>
      <c r="O141" s="191"/>
    </row>
    <row r="142" spans="7:13" ht="15.75" customHeight="1">
      <c r="G142" s="187" t="s">
        <v>148</v>
      </c>
      <c r="H142" s="187"/>
      <c r="I142" s="112">
        <v>0</v>
      </c>
      <c r="J142" s="188" t="s">
        <v>163</v>
      </c>
      <c r="K142" s="188"/>
      <c r="L142" s="188"/>
      <c r="M142" s="188"/>
    </row>
    <row r="143" spans="2:13" ht="18.75" customHeight="1">
      <c r="B143" s="185" t="s">
        <v>160</v>
      </c>
      <c r="C143" s="186"/>
      <c r="D143" s="117">
        <v>127799.14</v>
      </c>
      <c r="E143" s="80"/>
      <c r="F143" s="100" t="s">
        <v>147</v>
      </c>
      <c r="G143" s="187" t="s">
        <v>149</v>
      </c>
      <c r="H143" s="187"/>
      <c r="I143" s="116">
        <v>113969.28</v>
      </c>
      <c r="J143" s="188" t="s">
        <v>164</v>
      </c>
      <c r="K143" s="188"/>
      <c r="L143" s="188"/>
      <c r="M143" s="188"/>
    </row>
    <row r="144" spans="7:12" ht="9.75" customHeight="1">
      <c r="G144" s="181"/>
      <c r="H144" s="181"/>
      <c r="I144" s="98"/>
      <c r="J144" s="99"/>
      <c r="K144" s="99"/>
      <c r="L144" s="99"/>
    </row>
    <row r="145" spans="2:12" ht="22.5" customHeight="1">
      <c r="B145" s="182" t="s">
        <v>169</v>
      </c>
      <c r="C145" s="183"/>
      <c r="D145" s="119">
        <v>18493.9</v>
      </c>
      <c r="E145" s="77" t="s">
        <v>104</v>
      </c>
      <c r="G145" s="181"/>
      <c r="H145" s="181"/>
      <c r="I145" s="98"/>
      <c r="J145" s="99"/>
      <c r="K145" s="99"/>
      <c r="L145" s="99"/>
    </row>
    <row r="146" spans="4:15" ht="15.75">
      <c r="D146" s="114"/>
      <c r="N146" s="181"/>
      <c r="O146" s="181"/>
    </row>
    <row r="147" spans="4:15" ht="15.75">
      <c r="D147" s="113"/>
      <c r="I147" s="39"/>
      <c r="N147" s="184"/>
      <c r="O147" s="184"/>
    </row>
    <row r="148" spans="14:15" ht="15.75">
      <c r="N148" s="181"/>
      <c r="O148" s="181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7" t="s">
        <v>256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177" t="s">
        <v>224</v>
      </c>
      <c r="E3" s="177"/>
      <c r="F3" s="178" t="s">
        <v>107</v>
      </c>
      <c r="G3" s="179"/>
      <c r="H3" s="179"/>
      <c r="I3" s="179"/>
      <c r="J3" s="179"/>
      <c r="K3" s="179"/>
      <c r="L3" s="180"/>
      <c r="M3" s="175" t="s">
        <v>225</v>
      </c>
      <c r="N3" s="213" t="s">
        <v>252</v>
      </c>
      <c r="O3" s="213"/>
      <c r="P3" s="213"/>
      <c r="Q3" s="213"/>
      <c r="R3" s="213"/>
    </row>
    <row r="4" spans="1:18" ht="22.5" customHeight="1">
      <c r="A4" s="209"/>
      <c r="B4" s="211"/>
      <c r="C4" s="176"/>
      <c r="D4" s="177"/>
      <c r="E4" s="177"/>
      <c r="F4" s="214" t="s">
        <v>116</v>
      </c>
      <c r="G4" s="201" t="s">
        <v>249</v>
      </c>
      <c r="H4" s="203" t="s">
        <v>250</v>
      </c>
      <c r="I4" s="199" t="s">
        <v>188</v>
      </c>
      <c r="J4" s="205" t="s">
        <v>189</v>
      </c>
      <c r="K4" s="192" t="s">
        <v>254</v>
      </c>
      <c r="L4" s="193"/>
      <c r="M4" s="212"/>
      <c r="N4" s="197" t="s">
        <v>257</v>
      </c>
      <c r="O4" s="199" t="s">
        <v>136</v>
      </c>
      <c r="P4" s="199" t="s">
        <v>135</v>
      </c>
      <c r="Q4" s="192" t="s">
        <v>255</v>
      </c>
      <c r="R4" s="193"/>
    </row>
    <row r="5" spans="1:18" ht="82.5" customHeight="1">
      <c r="A5" s="210"/>
      <c r="B5" s="211"/>
      <c r="C5" s="176"/>
      <c r="D5" s="150" t="s">
        <v>209</v>
      </c>
      <c r="E5" s="158" t="s">
        <v>248</v>
      </c>
      <c r="F5" s="215"/>
      <c r="G5" s="202"/>
      <c r="H5" s="204"/>
      <c r="I5" s="200"/>
      <c r="J5" s="206"/>
      <c r="K5" s="194"/>
      <c r="L5" s="195"/>
      <c r="M5" s="151" t="s">
        <v>251</v>
      </c>
      <c r="N5" s="198"/>
      <c r="O5" s="200"/>
      <c r="P5" s="200"/>
      <c r="Q5" s="194"/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6"/>
      <c r="H138" s="196"/>
      <c r="I138" s="196"/>
      <c r="J138" s="196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1"/>
      <c r="O139" s="191"/>
    </row>
    <row r="140" spans="3:15" ht="15.75">
      <c r="C140" s="120">
        <v>41850</v>
      </c>
      <c r="D140" s="39">
        <v>4320</v>
      </c>
      <c r="F140" s="4" t="s">
        <v>166</v>
      </c>
      <c r="G140" s="187" t="s">
        <v>151</v>
      </c>
      <c r="H140" s="187"/>
      <c r="I140" s="115">
        <f>13825221.96/1000</f>
        <v>13825.22196</v>
      </c>
      <c r="J140" s="188" t="s">
        <v>161</v>
      </c>
      <c r="K140" s="188"/>
      <c r="L140" s="188"/>
      <c r="M140" s="188"/>
      <c r="N140" s="191"/>
      <c r="O140" s="191"/>
    </row>
    <row r="141" spans="3:15" ht="15.75">
      <c r="C141" s="120">
        <v>41849</v>
      </c>
      <c r="D141" s="39">
        <v>4403.7</v>
      </c>
      <c r="G141" s="189" t="s">
        <v>155</v>
      </c>
      <c r="H141" s="189"/>
      <c r="I141" s="112">
        <v>0</v>
      </c>
      <c r="J141" s="190" t="s">
        <v>162</v>
      </c>
      <c r="K141" s="190"/>
      <c r="L141" s="190"/>
      <c r="M141" s="190"/>
      <c r="N141" s="191"/>
      <c r="O141" s="191"/>
    </row>
    <row r="142" spans="7:13" ht="15.75" customHeight="1">
      <c r="G142" s="187" t="s">
        <v>148</v>
      </c>
      <c r="H142" s="187"/>
      <c r="I142" s="112">
        <f>'[1]залишки  (2)'!$G$8/1000</f>
        <v>0</v>
      </c>
      <c r="J142" s="188" t="s">
        <v>163</v>
      </c>
      <c r="K142" s="188"/>
      <c r="L142" s="188"/>
      <c r="M142" s="188"/>
    </row>
    <row r="143" spans="2:13" ht="18.75" customHeight="1">
      <c r="B143" s="185" t="s">
        <v>160</v>
      </c>
      <c r="C143" s="186"/>
      <c r="D143" s="117">
        <f>120856761.09/1000</f>
        <v>120856.76109</v>
      </c>
      <c r="E143" s="80"/>
      <c r="F143" s="100" t="s">
        <v>147</v>
      </c>
      <c r="G143" s="187" t="s">
        <v>149</v>
      </c>
      <c r="H143" s="187"/>
      <c r="I143" s="116">
        <f>107031539.13/1000</f>
        <v>107031.53912999999</v>
      </c>
      <c r="J143" s="188" t="s">
        <v>164</v>
      </c>
      <c r="K143" s="188"/>
      <c r="L143" s="188"/>
      <c r="M143" s="188"/>
    </row>
    <row r="144" spans="7:12" ht="9.75" customHeight="1">
      <c r="G144" s="181"/>
      <c r="H144" s="181"/>
      <c r="I144" s="98"/>
      <c r="J144" s="99"/>
      <c r="K144" s="99"/>
      <c r="L144" s="99"/>
    </row>
    <row r="145" spans="2:12" ht="22.5" customHeight="1">
      <c r="B145" s="182" t="s">
        <v>169</v>
      </c>
      <c r="C145" s="183"/>
      <c r="D145" s="119">
        <f>26199804.73/1000</f>
        <v>26199.80473</v>
      </c>
      <c r="E145" s="77" t="s">
        <v>104</v>
      </c>
      <c r="G145" s="181"/>
      <c r="H145" s="181"/>
      <c r="I145" s="98"/>
      <c r="J145" s="99"/>
      <c r="K145" s="99"/>
      <c r="L145" s="99"/>
    </row>
    <row r="146" spans="4:15" ht="15.75">
      <c r="D146" s="114"/>
      <c r="N146" s="181"/>
      <c r="O146" s="181"/>
    </row>
    <row r="147" spans="4:15" ht="15.75">
      <c r="D147" s="113"/>
      <c r="I147" s="39"/>
      <c r="N147" s="184"/>
      <c r="O147" s="184"/>
    </row>
    <row r="148" spans="14:15" ht="15.75">
      <c r="N148" s="181"/>
      <c r="O148" s="181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J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7" t="s">
        <v>246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177" t="s">
        <v>224</v>
      </c>
      <c r="E3" s="177"/>
      <c r="F3" s="178" t="s">
        <v>107</v>
      </c>
      <c r="G3" s="179"/>
      <c r="H3" s="179"/>
      <c r="I3" s="179"/>
      <c r="J3" s="179"/>
      <c r="K3" s="179"/>
      <c r="L3" s="180"/>
      <c r="M3" s="175" t="s">
        <v>225</v>
      </c>
      <c r="N3" s="213" t="s">
        <v>243</v>
      </c>
      <c r="O3" s="213"/>
      <c r="P3" s="213"/>
      <c r="Q3" s="213"/>
      <c r="R3" s="213"/>
    </row>
    <row r="4" spans="1:18" ht="22.5" customHeight="1">
      <c r="A4" s="209"/>
      <c r="B4" s="211"/>
      <c r="C4" s="176"/>
      <c r="D4" s="177"/>
      <c r="E4" s="177"/>
      <c r="F4" s="214" t="s">
        <v>116</v>
      </c>
      <c r="G4" s="201" t="s">
        <v>238</v>
      </c>
      <c r="H4" s="203" t="s">
        <v>239</v>
      </c>
      <c r="I4" s="199" t="s">
        <v>188</v>
      </c>
      <c r="J4" s="205" t="s">
        <v>189</v>
      </c>
      <c r="K4" s="192" t="s">
        <v>240</v>
      </c>
      <c r="L4" s="193"/>
      <c r="M4" s="212"/>
      <c r="N4" s="197" t="s">
        <v>247</v>
      </c>
      <c r="O4" s="199" t="s">
        <v>136</v>
      </c>
      <c r="P4" s="199" t="s">
        <v>135</v>
      </c>
      <c r="Q4" s="192" t="s">
        <v>242</v>
      </c>
      <c r="R4" s="193"/>
    </row>
    <row r="5" spans="1:18" ht="82.5" customHeight="1">
      <c r="A5" s="210"/>
      <c r="B5" s="211"/>
      <c r="C5" s="176"/>
      <c r="D5" s="150" t="s">
        <v>209</v>
      </c>
      <c r="E5" s="158" t="s">
        <v>237</v>
      </c>
      <c r="F5" s="215"/>
      <c r="G5" s="202"/>
      <c r="H5" s="204"/>
      <c r="I5" s="200"/>
      <c r="J5" s="206"/>
      <c r="K5" s="194"/>
      <c r="L5" s="195"/>
      <c r="M5" s="151" t="s">
        <v>241</v>
      </c>
      <c r="N5" s="198"/>
      <c r="O5" s="200"/>
      <c r="P5" s="200"/>
      <c r="Q5" s="194"/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6"/>
      <c r="H138" s="196"/>
      <c r="I138" s="196"/>
      <c r="J138" s="196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1"/>
      <c r="O139" s="191"/>
    </row>
    <row r="140" spans="3:15" ht="15.75">
      <c r="C140" s="120">
        <v>41816</v>
      </c>
      <c r="D140" s="39">
        <v>4277.2</v>
      </c>
      <c r="F140" s="4" t="s">
        <v>166</v>
      </c>
      <c r="G140" s="187" t="s">
        <v>151</v>
      </c>
      <c r="H140" s="187"/>
      <c r="I140" s="115">
        <f>'[1]залишки  (2)'!$G$9/1000</f>
        <v>9020.59653</v>
      </c>
      <c r="J140" s="188" t="s">
        <v>161</v>
      </c>
      <c r="K140" s="188"/>
      <c r="L140" s="188"/>
      <c r="M140" s="188"/>
      <c r="N140" s="191"/>
      <c r="O140" s="191"/>
    </row>
    <row r="141" spans="3:15" ht="15.75">
      <c r="C141" s="120">
        <v>41815</v>
      </c>
      <c r="D141" s="39">
        <v>1877.7</v>
      </c>
      <c r="G141" s="189" t="s">
        <v>155</v>
      </c>
      <c r="H141" s="189"/>
      <c r="I141" s="112">
        <v>0</v>
      </c>
      <c r="J141" s="190" t="s">
        <v>162</v>
      </c>
      <c r="K141" s="190"/>
      <c r="L141" s="190"/>
      <c r="M141" s="190"/>
      <c r="N141" s="191"/>
      <c r="O141" s="191"/>
    </row>
    <row r="142" spans="7:13" ht="15.75" customHeight="1">
      <c r="G142" s="187" t="s">
        <v>148</v>
      </c>
      <c r="H142" s="187"/>
      <c r="I142" s="112">
        <f>'[1]залишки  (2)'!$G$8/1000</f>
        <v>0</v>
      </c>
      <c r="J142" s="188" t="s">
        <v>163</v>
      </c>
      <c r="K142" s="188"/>
      <c r="L142" s="188"/>
      <c r="M142" s="188"/>
    </row>
    <row r="143" spans="2:13" ht="18.75" customHeight="1">
      <c r="B143" s="185" t="s">
        <v>160</v>
      </c>
      <c r="C143" s="186"/>
      <c r="D143" s="117">
        <v>117976.29</v>
      </c>
      <c r="E143" s="80"/>
      <c r="F143" s="100" t="s">
        <v>147</v>
      </c>
      <c r="G143" s="187" t="s">
        <v>149</v>
      </c>
      <c r="H143" s="187"/>
      <c r="I143" s="116">
        <v>104151.07</v>
      </c>
      <c r="J143" s="188" t="s">
        <v>164</v>
      </c>
      <c r="K143" s="188"/>
      <c r="L143" s="188"/>
      <c r="M143" s="188"/>
    </row>
    <row r="144" spans="7:12" ht="9.75" customHeight="1">
      <c r="G144" s="181"/>
      <c r="H144" s="181"/>
      <c r="I144" s="98"/>
      <c r="J144" s="99"/>
      <c r="K144" s="99"/>
      <c r="L144" s="99"/>
    </row>
    <row r="145" spans="2:12" ht="22.5" customHeight="1">
      <c r="B145" s="182" t="s">
        <v>169</v>
      </c>
      <c r="C145" s="183"/>
      <c r="D145" s="119">
        <v>41386</v>
      </c>
      <c r="E145" s="77" t="s">
        <v>104</v>
      </c>
      <c r="G145" s="181"/>
      <c r="H145" s="181"/>
      <c r="I145" s="98"/>
      <c r="J145" s="99"/>
      <c r="K145" s="99"/>
      <c r="L145" s="99"/>
    </row>
    <row r="146" spans="4:15" ht="15.75">
      <c r="D146" s="114"/>
      <c r="N146" s="181"/>
      <c r="O146" s="181"/>
    </row>
    <row r="147" spans="4:15" ht="15.75">
      <c r="D147" s="113"/>
      <c r="I147" s="39"/>
      <c r="N147" s="184"/>
      <c r="O147" s="184"/>
    </row>
    <row r="148" spans="14:15" ht="15.75">
      <c r="N148" s="181"/>
      <c r="O148" s="181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7" t="s">
        <v>235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177" t="s">
        <v>224</v>
      </c>
      <c r="E3" s="177"/>
      <c r="F3" s="178" t="s">
        <v>107</v>
      </c>
      <c r="G3" s="179"/>
      <c r="H3" s="179"/>
      <c r="I3" s="179"/>
      <c r="J3" s="179"/>
      <c r="K3" s="179"/>
      <c r="L3" s="180"/>
      <c r="M3" s="175" t="s">
        <v>225</v>
      </c>
      <c r="N3" s="213" t="s">
        <v>233</v>
      </c>
      <c r="O3" s="213"/>
      <c r="P3" s="213"/>
      <c r="Q3" s="213"/>
      <c r="R3" s="213"/>
    </row>
    <row r="4" spans="1:18" ht="22.5" customHeight="1">
      <c r="A4" s="209"/>
      <c r="B4" s="211"/>
      <c r="C4" s="176"/>
      <c r="D4" s="177"/>
      <c r="E4" s="177"/>
      <c r="F4" s="214" t="s">
        <v>116</v>
      </c>
      <c r="G4" s="201" t="s">
        <v>229</v>
      </c>
      <c r="H4" s="203" t="s">
        <v>230</v>
      </c>
      <c r="I4" s="199" t="s">
        <v>188</v>
      </c>
      <c r="J4" s="205" t="s">
        <v>189</v>
      </c>
      <c r="K4" s="192" t="s">
        <v>231</v>
      </c>
      <c r="L4" s="193"/>
      <c r="M4" s="212"/>
      <c r="N4" s="197" t="s">
        <v>236</v>
      </c>
      <c r="O4" s="199" t="s">
        <v>136</v>
      </c>
      <c r="P4" s="199" t="s">
        <v>135</v>
      </c>
      <c r="Q4" s="192" t="s">
        <v>234</v>
      </c>
      <c r="R4" s="193"/>
    </row>
    <row r="5" spans="1:18" ht="82.5" customHeight="1">
      <c r="A5" s="210"/>
      <c r="B5" s="211"/>
      <c r="C5" s="176"/>
      <c r="D5" s="150" t="s">
        <v>209</v>
      </c>
      <c r="E5" s="158" t="s">
        <v>228</v>
      </c>
      <c r="F5" s="215"/>
      <c r="G5" s="202"/>
      <c r="H5" s="204"/>
      <c r="I5" s="200"/>
      <c r="J5" s="206"/>
      <c r="K5" s="194"/>
      <c r="L5" s="195"/>
      <c r="M5" s="151" t="s">
        <v>232</v>
      </c>
      <c r="N5" s="198"/>
      <c r="O5" s="200"/>
      <c r="P5" s="200"/>
      <c r="Q5" s="194"/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6"/>
      <c r="H137" s="196"/>
      <c r="I137" s="196"/>
      <c r="J137" s="196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1"/>
      <c r="O138" s="191"/>
    </row>
    <row r="139" spans="3:15" ht="15.75">
      <c r="C139" s="120">
        <v>41788</v>
      </c>
      <c r="D139" s="39">
        <v>5993.3</v>
      </c>
      <c r="F139" s="4" t="s">
        <v>166</v>
      </c>
      <c r="G139" s="187" t="s">
        <v>151</v>
      </c>
      <c r="H139" s="187"/>
      <c r="I139" s="115">
        <v>13825.22196</v>
      </c>
      <c r="J139" s="188" t="s">
        <v>161</v>
      </c>
      <c r="K139" s="188"/>
      <c r="L139" s="188"/>
      <c r="M139" s="188"/>
      <c r="N139" s="191"/>
      <c r="O139" s="191"/>
    </row>
    <row r="140" spans="3:15" ht="15.75">
      <c r="C140" s="120">
        <v>41787</v>
      </c>
      <c r="D140" s="39">
        <v>2595.2</v>
      </c>
      <c r="G140" s="189" t="s">
        <v>155</v>
      </c>
      <c r="H140" s="189"/>
      <c r="I140" s="112">
        <v>0</v>
      </c>
      <c r="J140" s="190" t="s">
        <v>162</v>
      </c>
      <c r="K140" s="190"/>
      <c r="L140" s="190"/>
      <c r="M140" s="190"/>
      <c r="N140" s="191"/>
      <c r="O140" s="191"/>
    </row>
    <row r="141" spans="7:13" ht="15.75" customHeight="1">
      <c r="G141" s="187" t="s">
        <v>148</v>
      </c>
      <c r="H141" s="187"/>
      <c r="I141" s="112">
        <v>0</v>
      </c>
      <c r="J141" s="188" t="s">
        <v>163</v>
      </c>
      <c r="K141" s="188"/>
      <c r="L141" s="188"/>
      <c r="M141" s="188"/>
    </row>
    <row r="142" spans="2:13" ht="18.75" customHeight="1">
      <c r="B142" s="185" t="s">
        <v>160</v>
      </c>
      <c r="C142" s="186"/>
      <c r="D142" s="117">
        <v>118982.48</v>
      </c>
      <c r="E142" s="80"/>
      <c r="F142" s="100" t="s">
        <v>147</v>
      </c>
      <c r="G142" s="187" t="s">
        <v>149</v>
      </c>
      <c r="H142" s="187"/>
      <c r="I142" s="116">
        <v>105157.26</v>
      </c>
      <c r="J142" s="188" t="s">
        <v>164</v>
      </c>
      <c r="K142" s="188"/>
      <c r="L142" s="188"/>
      <c r="M142" s="188"/>
    </row>
    <row r="143" spans="7:12" ht="9.75" customHeight="1">
      <c r="G143" s="181"/>
      <c r="H143" s="181"/>
      <c r="I143" s="98"/>
      <c r="J143" s="99"/>
      <c r="K143" s="99"/>
      <c r="L143" s="99"/>
    </row>
    <row r="144" spans="2:12" ht="22.5" customHeight="1">
      <c r="B144" s="182" t="s">
        <v>169</v>
      </c>
      <c r="C144" s="183"/>
      <c r="D144" s="119">
        <v>27359.4</v>
      </c>
      <c r="E144" s="77" t="s">
        <v>104</v>
      </c>
      <c r="G144" s="181"/>
      <c r="H144" s="181"/>
      <c r="I144" s="98"/>
      <c r="J144" s="99"/>
      <c r="K144" s="99"/>
      <c r="L144" s="99"/>
    </row>
    <row r="145" spans="4:15" ht="15.75">
      <c r="D145" s="114"/>
      <c r="N145" s="181"/>
      <c r="O145" s="181"/>
    </row>
    <row r="146" spans="4:15" ht="15.75">
      <c r="D146" s="113"/>
      <c r="I146" s="39"/>
      <c r="N146" s="184"/>
      <c r="O146" s="184"/>
    </row>
    <row r="147" spans="14:15" ht="15.75">
      <c r="N147" s="181"/>
      <c r="O147" s="181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07" t="s">
        <v>226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177" t="s">
        <v>224</v>
      </c>
      <c r="E3" s="177"/>
      <c r="F3" s="178" t="s">
        <v>107</v>
      </c>
      <c r="G3" s="179"/>
      <c r="H3" s="179"/>
      <c r="I3" s="179"/>
      <c r="J3" s="179"/>
      <c r="K3" s="179"/>
      <c r="L3" s="180"/>
      <c r="M3" s="175" t="s">
        <v>225</v>
      </c>
      <c r="N3" s="213" t="s">
        <v>221</v>
      </c>
      <c r="O3" s="213"/>
      <c r="P3" s="213"/>
      <c r="Q3" s="213"/>
      <c r="R3" s="213"/>
    </row>
    <row r="4" spans="1:18" ht="22.5" customHeight="1">
      <c r="A4" s="209"/>
      <c r="B4" s="211"/>
      <c r="C4" s="176"/>
      <c r="D4" s="177"/>
      <c r="E4" s="177"/>
      <c r="F4" s="214" t="s">
        <v>116</v>
      </c>
      <c r="G4" s="201" t="s">
        <v>217</v>
      </c>
      <c r="H4" s="203" t="s">
        <v>218</v>
      </c>
      <c r="I4" s="199" t="s">
        <v>188</v>
      </c>
      <c r="J4" s="205" t="s">
        <v>189</v>
      </c>
      <c r="K4" s="192" t="s">
        <v>219</v>
      </c>
      <c r="L4" s="193"/>
      <c r="M4" s="212"/>
      <c r="N4" s="197" t="s">
        <v>227</v>
      </c>
      <c r="O4" s="199" t="s">
        <v>136</v>
      </c>
      <c r="P4" s="199" t="s">
        <v>135</v>
      </c>
      <c r="Q4" s="192" t="s">
        <v>222</v>
      </c>
      <c r="R4" s="193"/>
    </row>
    <row r="5" spans="1:18" ht="82.5" customHeight="1">
      <c r="A5" s="210"/>
      <c r="B5" s="211"/>
      <c r="C5" s="176"/>
      <c r="D5" s="150" t="s">
        <v>209</v>
      </c>
      <c r="E5" s="158" t="s">
        <v>216</v>
      </c>
      <c r="F5" s="215"/>
      <c r="G5" s="202"/>
      <c r="H5" s="204"/>
      <c r="I5" s="200"/>
      <c r="J5" s="206"/>
      <c r="K5" s="194"/>
      <c r="L5" s="195"/>
      <c r="M5" s="151" t="s">
        <v>220</v>
      </c>
      <c r="N5" s="198"/>
      <c r="O5" s="200"/>
      <c r="P5" s="200"/>
      <c r="Q5" s="194"/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6"/>
      <c r="H137" s="196"/>
      <c r="I137" s="196"/>
      <c r="J137" s="196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1"/>
      <c r="O138" s="191"/>
    </row>
    <row r="139" spans="3:15" ht="15.75">
      <c r="C139" s="120">
        <v>41758</v>
      </c>
      <c r="D139" s="39">
        <v>5440.9</v>
      </c>
      <c r="F139" s="4" t="s">
        <v>166</v>
      </c>
      <c r="G139" s="187" t="s">
        <v>151</v>
      </c>
      <c r="H139" s="187"/>
      <c r="I139" s="115">
        <v>13825.22</v>
      </c>
      <c r="J139" s="188" t="s">
        <v>161</v>
      </c>
      <c r="K139" s="188"/>
      <c r="L139" s="188"/>
      <c r="M139" s="188"/>
      <c r="N139" s="191"/>
      <c r="O139" s="191"/>
    </row>
    <row r="140" spans="3:15" ht="15.75">
      <c r="C140" s="120">
        <v>41757</v>
      </c>
      <c r="D140" s="39">
        <v>1923.2</v>
      </c>
      <c r="G140" s="189" t="s">
        <v>155</v>
      </c>
      <c r="H140" s="189"/>
      <c r="I140" s="112">
        <v>0</v>
      </c>
      <c r="J140" s="190" t="s">
        <v>162</v>
      </c>
      <c r="K140" s="190"/>
      <c r="L140" s="190"/>
      <c r="M140" s="190"/>
      <c r="N140" s="191"/>
      <c r="O140" s="191"/>
    </row>
    <row r="141" spans="7:13" ht="15.75" customHeight="1">
      <c r="G141" s="187" t="s">
        <v>148</v>
      </c>
      <c r="H141" s="187"/>
      <c r="I141" s="112">
        <v>0</v>
      </c>
      <c r="J141" s="188" t="s">
        <v>163</v>
      </c>
      <c r="K141" s="188"/>
      <c r="L141" s="188"/>
      <c r="M141" s="188"/>
    </row>
    <row r="142" spans="2:13" ht="18.75" customHeight="1">
      <c r="B142" s="185" t="s">
        <v>160</v>
      </c>
      <c r="C142" s="186"/>
      <c r="D142" s="117">
        <v>123251.48</v>
      </c>
      <c r="E142" s="80"/>
      <c r="F142" s="100" t="s">
        <v>147</v>
      </c>
      <c r="G142" s="187" t="s">
        <v>149</v>
      </c>
      <c r="H142" s="187"/>
      <c r="I142" s="116">
        <v>109426.25</v>
      </c>
      <c r="J142" s="188" t="s">
        <v>164</v>
      </c>
      <c r="K142" s="188"/>
      <c r="L142" s="188"/>
      <c r="M142" s="188"/>
    </row>
    <row r="143" spans="7:12" ht="9.75" customHeight="1">
      <c r="G143" s="181"/>
      <c r="H143" s="181"/>
      <c r="I143" s="98"/>
      <c r="J143" s="99"/>
      <c r="K143" s="99"/>
      <c r="L143" s="99"/>
    </row>
    <row r="144" spans="2:12" ht="22.5" customHeight="1">
      <c r="B144" s="182" t="s">
        <v>169</v>
      </c>
      <c r="C144" s="183"/>
      <c r="D144" s="119">
        <f>'[1]надх'!$B$52/1000</f>
        <v>11990.888079999999</v>
      </c>
      <c r="E144" s="77" t="s">
        <v>104</v>
      </c>
      <c r="G144" s="181"/>
      <c r="H144" s="181"/>
      <c r="I144" s="98"/>
      <c r="J144" s="99"/>
      <c r="K144" s="99"/>
      <c r="L144" s="99"/>
    </row>
    <row r="145" spans="4:15" ht="15.75">
      <c r="D145" s="114"/>
      <c r="N145" s="181"/>
      <c r="O145" s="181"/>
    </row>
    <row r="146" spans="4:15" ht="15.75">
      <c r="D146" s="113"/>
      <c r="I146" s="39"/>
      <c r="N146" s="184"/>
      <c r="O146" s="184"/>
    </row>
    <row r="147" spans="14:15" ht="15.75">
      <c r="N147" s="181"/>
      <c r="O147" s="181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07" t="s">
        <v>212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177" t="s">
        <v>208</v>
      </c>
      <c r="E3" s="177"/>
      <c r="F3" s="178" t="s">
        <v>107</v>
      </c>
      <c r="G3" s="179"/>
      <c r="H3" s="179"/>
      <c r="I3" s="179"/>
      <c r="J3" s="179"/>
      <c r="K3" s="179"/>
      <c r="L3" s="180"/>
      <c r="M3" s="175" t="s">
        <v>210</v>
      </c>
      <c r="N3" s="213" t="s">
        <v>198</v>
      </c>
      <c r="O3" s="213"/>
      <c r="P3" s="213"/>
      <c r="Q3" s="213"/>
      <c r="R3" s="213"/>
    </row>
    <row r="4" spans="1:18" ht="22.5" customHeight="1">
      <c r="A4" s="209"/>
      <c r="B4" s="211"/>
      <c r="C4" s="176"/>
      <c r="D4" s="177"/>
      <c r="E4" s="177"/>
      <c r="F4" s="214" t="s">
        <v>116</v>
      </c>
      <c r="G4" s="201" t="s">
        <v>207</v>
      </c>
      <c r="H4" s="203" t="s">
        <v>195</v>
      </c>
      <c r="I4" s="199" t="s">
        <v>188</v>
      </c>
      <c r="J4" s="205" t="s">
        <v>189</v>
      </c>
      <c r="K4" s="192" t="s">
        <v>196</v>
      </c>
      <c r="L4" s="193"/>
      <c r="M4" s="212"/>
      <c r="N4" s="197" t="s">
        <v>213</v>
      </c>
      <c r="O4" s="199" t="s">
        <v>136</v>
      </c>
      <c r="P4" s="199" t="s">
        <v>135</v>
      </c>
      <c r="Q4" s="192" t="s">
        <v>197</v>
      </c>
      <c r="R4" s="193"/>
    </row>
    <row r="5" spans="1:18" ht="82.5" customHeight="1">
      <c r="A5" s="210"/>
      <c r="B5" s="211"/>
      <c r="C5" s="176"/>
      <c r="D5" s="150" t="s">
        <v>209</v>
      </c>
      <c r="E5" s="158" t="s">
        <v>214</v>
      </c>
      <c r="F5" s="215"/>
      <c r="G5" s="202"/>
      <c r="H5" s="204"/>
      <c r="I5" s="200"/>
      <c r="J5" s="206"/>
      <c r="K5" s="194"/>
      <c r="L5" s="195"/>
      <c r="M5" s="151" t="s">
        <v>211</v>
      </c>
      <c r="N5" s="198"/>
      <c r="O5" s="200"/>
      <c r="P5" s="200"/>
      <c r="Q5" s="194"/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6"/>
      <c r="H137" s="196"/>
      <c r="I137" s="196"/>
      <c r="J137" s="196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1"/>
      <c r="O138" s="191"/>
    </row>
    <row r="139" spans="3:15" ht="15.75">
      <c r="C139" s="120">
        <v>41726</v>
      </c>
      <c r="D139" s="39">
        <v>4682.6</v>
      </c>
      <c r="F139" s="4" t="s">
        <v>166</v>
      </c>
      <c r="G139" s="187" t="s">
        <v>151</v>
      </c>
      <c r="H139" s="187"/>
      <c r="I139" s="115">
        <v>13825.22196</v>
      </c>
      <c r="J139" s="188" t="s">
        <v>161</v>
      </c>
      <c r="K139" s="188"/>
      <c r="L139" s="188"/>
      <c r="M139" s="188"/>
      <c r="N139" s="191"/>
      <c r="O139" s="191"/>
    </row>
    <row r="140" spans="3:15" ht="15.75">
      <c r="C140" s="120">
        <v>41725</v>
      </c>
      <c r="D140" s="39">
        <v>3360.7</v>
      </c>
      <c r="G140" s="189" t="s">
        <v>155</v>
      </c>
      <c r="H140" s="189"/>
      <c r="I140" s="112">
        <v>0</v>
      </c>
      <c r="J140" s="190" t="s">
        <v>162</v>
      </c>
      <c r="K140" s="190"/>
      <c r="L140" s="190"/>
      <c r="M140" s="190"/>
      <c r="N140" s="191"/>
      <c r="O140" s="191"/>
    </row>
    <row r="141" spans="7:13" ht="15.75" customHeight="1">
      <c r="G141" s="187" t="s">
        <v>148</v>
      </c>
      <c r="H141" s="187"/>
      <c r="I141" s="112">
        <v>0</v>
      </c>
      <c r="J141" s="188" t="s">
        <v>163</v>
      </c>
      <c r="K141" s="188"/>
      <c r="L141" s="188"/>
      <c r="M141" s="188"/>
    </row>
    <row r="142" spans="2:13" ht="18.75" customHeight="1">
      <c r="B142" s="185" t="s">
        <v>160</v>
      </c>
      <c r="C142" s="186"/>
      <c r="D142" s="117">
        <v>114985.02570999999</v>
      </c>
      <c r="E142" s="80"/>
      <c r="F142" s="100" t="s">
        <v>147</v>
      </c>
      <c r="G142" s="187" t="s">
        <v>149</v>
      </c>
      <c r="H142" s="187"/>
      <c r="I142" s="116">
        <v>101159.80375</v>
      </c>
      <c r="J142" s="188" t="s">
        <v>164</v>
      </c>
      <c r="K142" s="188"/>
      <c r="L142" s="188"/>
      <c r="M142" s="188"/>
    </row>
    <row r="143" spans="7:12" ht="9.75" customHeight="1">
      <c r="G143" s="181"/>
      <c r="H143" s="181"/>
      <c r="I143" s="98"/>
      <c r="J143" s="99"/>
      <c r="K143" s="99"/>
      <c r="L143" s="99"/>
    </row>
    <row r="144" spans="2:12" ht="22.5" customHeight="1">
      <c r="B144" s="182" t="s">
        <v>169</v>
      </c>
      <c r="C144" s="183"/>
      <c r="D144" s="119">
        <v>3918.1</v>
      </c>
      <c r="E144" s="77" t="s">
        <v>104</v>
      </c>
      <c r="G144" s="181"/>
      <c r="H144" s="181"/>
      <c r="I144" s="98"/>
      <c r="J144" s="99"/>
      <c r="K144" s="99"/>
      <c r="L144" s="99"/>
    </row>
    <row r="145" spans="4:15" ht="15.75">
      <c r="D145" s="114"/>
      <c r="N145" s="181"/>
      <c r="O145" s="181"/>
    </row>
    <row r="146" spans="4:15" ht="15.75">
      <c r="D146" s="113"/>
      <c r="I146" s="39"/>
      <c r="N146" s="184"/>
      <c r="O146" s="184"/>
    </row>
    <row r="147" spans="14:15" ht="15.75">
      <c r="N147" s="181"/>
      <c r="O147" s="181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07" t="s">
        <v>193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217" t="s">
        <v>187</v>
      </c>
      <c r="E3" s="46"/>
      <c r="F3" s="218" t="s">
        <v>107</v>
      </c>
      <c r="G3" s="219"/>
      <c r="H3" s="219"/>
      <c r="I3" s="219"/>
      <c r="J3" s="220"/>
      <c r="K3" s="123"/>
      <c r="L3" s="123"/>
      <c r="M3" s="221" t="s">
        <v>190</v>
      </c>
      <c r="N3" s="216" t="s">
        <v>185</v>
      </c>
      <c r="O3" s="216"/>
      <c r="P3" s="216"/>
      <c r="Q3" s="216"/>
      <c r="R3" s="216"/>
    </row>
    <row r="4" spans="1:18" ht="22.5" customHeight="1">
      <c r="A4" s="209"/>
      <c r="B4" s="211"/>
      <c r="C4" s="176"/>
      <c r="D4" s="217"/>
      <c r="E4" s="222" t="s">
        <v>191</v>
      </c>
      <c r="F4" s="224" t="s">
        <v>116</v>
      </c>
      <c r="G4" s="226" t="s">
        <v>167</v>
      </c>
      <c r="H4" s="203" t="s">
        <v>168</v>
      </c>
      <c r="I4" s="228" t="s">
        <v>188</v>
      </c>
      <c r="J4" s="230" t="s">
        <v>189</v>
      </c>
      <c r="K4" s="125" t="s">
        <v>174</v>
      </c>
      <c r="L4" s="130" t="s">
        <v>173</v>
      </c>
      <c r="M4" s="221"/>
      <c r="N4" s="197" t="s">
        <v>194</v>
      </c>
      <c r="O4" s="228" t="s">
        <v>136</v>
      </c>
      <c r="P4" s="216" t="s">
        <v>135</v>
      </c>
      <c r="Q4" s="131" t="s">
        <v>174</v>
      </c>
      <c r="R4" s="132" t="s">
        <v>173</v>
      </c>
    </row>
    <row r="5" spans="1:18" ht="82.5" customHeight="1">
      <c r="A5" s="210"/>
      <c r="B5" s="211"/>
      <c r="C5" s="176"/>
      <c r="D5" s="217"/>
      <c r="E5" s="223"/>
      <c r="F5" s="225"/>
      <c r="G5" s="227"/>
      <c r="H5" s="204"/>
      <c r="I5" s="229"/>
      <c r="J5" s="231"/>
      <c r="K5" s="194" t="s">
        <v>184</v>
      </c>
      <c r="L5" s="195"/>
      <c r="M5" s="221"/>
      <c r="N5" s="198"/>
      <c r="O5" s="229"/>
      <c r="P5" s="216"/>
      <c r="Q5" s="194" t="s">
        <v>199</v>
      </c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6"/>
      <c r="H137" s="196"/>
      <c r="I137" s="196"/>
      <c r="J137" s="196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1"/>
      <c r="O138" s="191"/>
    </row>
    <row r="139" spans="3:15" ht="15.75">
      <c r="C139" s="120">
        <v>41697</v>
      </c>
      <c r="D139" s="39">
        <v>2276.8</v>
      </c>
      <c r="F139" s="4" t="s">
        <v>166</v>
      </c>
      <c r="G139" s="187" t="s">
        <v>151</v>
      </c>
      <c r="H139" s="187"/>
      <c r="I139" s="115">
        <v>13825.22</v>
      </c>
      <c r="J139" s="188" t="s">
        <v>161</v>
      </c>
      <c r="K139" s="188"/>
      <c r="L139" s="188"/>
      <c r="M139" s="188"/>
      <c r="N139" s="191"/>
      <c r="O139" s="191"/>
    </row>
    <row r="140" spans="3:15" ht="15.75">
      <c r="C140" s="120">
        <v>41696</v>
      </c>
      <c r="D140" s="39">
        <v>3746.1</v>
      </c>
      <c r="G140" s="189" t="s">
        <v>155</v>
      </c>
      <c r="H140" s="189"/>
      <c r="I140" s="112">
        <v>0</v>
      </c>
      <c r="J140" s="190" t="s">
        <v>162</v>
      </c>
      <c r="K140" s="190"/>
      <c r="L140" s="190"/>
      <c r="M140" s="190"/>
      <c r="N140" s="191"/>
      <c r="O140" s="191"/>
    </row>
    <row r="141" spans="7:13" ht="15.75" customHeight="1">
      <c r="G141" s="187" t="s">
        <v>148</v>
      </c>
      <c r="H141" s="187"/>
      <c r="I141" s="112">
        <f>'[1]залишки  (2)'!$G$8/1000</f>
        <v>0</v>
      </c>
      <c r="J141" s="188" t="s">
        <v>163</v>
      </c>
      <c r="K141" s="188"/>
      <c r="L141" s="188"/>
      <c r="M141" s="188"/>
    </row>
    <row r="142" spans="2:13" ht="18.75" customHeight="1">
      <c r="B142" s="185" t="s">
        <v>160</v>
      </c>
      <c r="C142" s="186"/>
      <c r="D142" s="117">
        <v>121970.53</v>
      </c>
      <c r="E142" s="80"/>
      <c r="F142" s="100" t="s">
        <v>147</v>
      </c>
      <c r="G142" s="187" t="s">
        <v>149</v>
      </c>
      <c r="H142" s="187"/>
      <c r="I142" s="116">
        <v>108145.31</v>
      </c>
      <c r="J142" s="188" t="s">
        <v>164</v>
      </c>
      <c r="K142" s="188"/>
      <c r="L142" s="188"/>
      <c r="M142" s="188"/>
    </row>
    <row r="143" spans="7:12" ht="9.75" customHeight="1">
      <c r="G143" s="181"/>
      <c r="H143" s="181"/>
      <c r="I143" s="98"/>
      <c r="J143" s="99"/>
      <c r="K143" s="99"/>
      <c r="L143" s="99"/>
    </row>
    <row r="144" spans="2:12" ht="22.5" customHeight="1">
      <c r="B144" s="182" t="s">
        <v>169</v>
      </c>
      <c r="C144" s="183"/>
      <c r="D144" s="119">
        <v>0</v>
      </c>
      <c r="E144" s="77" t="s">
        <v>104</v>
      </c>
      <c r="G144" s="181"/>
      <c r="H144" s="181"/>
      <c r="I144" s="98"/>
      <c r="J144" s="99"/>
      <c r="K144" s="99"/>
      <c r="L144" s="99"/>
    </row>
    <row r="145" spans="4:15" ht="15.75">
      <c r="D145" s="114"/>
      <c r="N145" s="181"/>
      <c r="O145" s="181"/>
    </row>
    <row r="146" spans="4:15" ht="15.75">
      <c r="D146" s="113"/>
      <c r="I146" s="39"/>
      <c r="N146" s="184"/>
      <c r="O146" s="184"/>
    </row>
    <row r="147" spans="14:15" ht="15.75">
      <c r="N147" s="181"/>
      <c r="O147" s="181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07" t="s">
        <v>183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126"/>
      <c r="R1" s="127"/>
    </row>
    <row r="2" spans="2:18" s="1" customFormat="1" ht="15.75" customHeight="1">
      <c r="B2" s="208"/>
      <c r="C2" s="208"/>
      <c r="D2" s="20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209"/>
      <c r="B3" s="211"/>
      <c r="C3" s="176" t="s">
        <v>0</v>
      </c>
      <c r="D3" s="217" t="s">
        <v>192</v>
      </c>
      <c r="E3" s="46"/>
      <c r="F3" s="218" t="s">
        <v>107</v>
      </c>
      <c r="G3" s="219"/>
      <c r="H3" s="219"/>
      <c r="I3" s="219"/>
      <c r="J3" s="220"/>
      <c r="K3" s="123"/>
      <c r="L3" s="123"/>
      <c r="M3" s="205" t="s">
        <v>200</v>
      </c>
      <c r="N3" s="216" t="s">
        <v>178</v>
      </c>
      <c r="O3" s="216"/>
      <c r="P3" s="216"/>
      <c r="Q3" s="216"/>
      <c r="R3" s="216"/>
    </row>
    <row r="4" spans="1:18" ht="22.5" customHeight="1">
      <c r="A4" s="209"/>
      <c r="B4" s="211"/>
      <c r="C4" s="176"/>
      <c r="D4" s="217"/>
      <c r="E4" s="222" t="s">
        <v>153</v>
      </c>
      <c r="F4" s="224" t="s">
        <v>116</v>
      </c>
      <c r="G4" s="226" t="s">
        <v>175</v>
      </c>
      <c r="H4" s="203" t="s">
        <v>176</v>
      </c>
      <c r="I4" s="228" t="s">
        <v>188</v>
      </c>
      <c r="J4" s="230" t="s">
        <v>189</v>
      </c>
      <c r="K4" s="125" t="s">
        <v>174</v>
      </c>
      <c r="L4" s="130" t="s">
        <v>173</v>
      </c>
      <c r="M4" s="232"/>
      <c r="N4" s="197" t="s">
        <v>186</v>
      </c>
      <c r="O4" s="228" t="s">
        <v>136</v>
      </c>
      <c r="P4" s="216" t="s">
        <v>135</v>
      </c>
      <c r="Q4" s="131" t="s">
        <v>174</v>
      </c>
      <c r="R4" s="132" t="s">
        <v>173</v>
      </c>
    </row>
    <row r="5" spans="1:18" ht="82.5" customHeight="1">
      <c r="A5" s="210"/>
      <c r="B5" s="211"/>
      <c r="C5" s="176"/>
      <c r="D5" s="217"/>
      <c r="E5" s="223"/>
      <c r="F5" s="225"/>
      <c r="G5" s="227"/>
      <c r="H5" s="204"/>
      <c r="I5" s="229"/>
      <c r="J5" s="231"/>
      <c r="K5" s="194" t="s">
        <v>177</v>
      </c>
      <c r="L5" s="195"/>
      <c r="M5" s="206"/>
      <c r="N5" s="198"/>
      <c r="O5" s="229"/>
      <c r="P5" s="216"/>
      <c r="Q5" s="194" t="s">
        <v>179</v>
      </c>
      <c r="R5" s="195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6"/>
      <c r="H137" s="196"/>
      <c r="I137" s="196"/>
      <c r="J137" s="196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1"/>
      <c r="O138" s="191"/>
    </row>
    <row r="139" spans="3:15" ht="15.75">
      <c r="C139" s="120">
        <v>41669</v>
      </c>
      <c r="D139" s="39">
        <v>4752.2</v>
      </c>
      <c r="F139" s="4" t="s">
        <v>166</v>
      </c>
      <c r="G139" s="187" t="s">
        <v>151</v>
      </c>
      <c r="H139" s="187"/>
      <c r="I139" s="115">
        <v>13825.22</v>
      </c>
      <c r="J139" s="188" t="s">
        <v>161</v>
      </c>
      <c r="K139" s="188"/>
      <c r="L139" s="188"/>
      <c r="M139" s="188"/>
      <c r="N139" s="191"/>
      <c r="O139" s="191"/>
    </row>
    <row r="140" spans="3:15" ht="15.75">
      <c r="C140" s="120">
        <v>41668</v>
      </c>
      <c r="D140" s="39">
        <v>1984.7</v>
      </c>
      <c r="G140" s="189" t="s">
        <v>155</v>
      </c>
      <c r="H140" s="189"/>
      <c r="I140" s="112">
        <v>0</v>
      </c>
      <c r="J140" s="190" t="s">
        <v>162</v>
      </c>
      <c r="K140" s="190"/>
      <c r="L140" s="190"/>
      <c r="M140" s="190"/>
      <c r="N140" s="191"/>
      <c r="O140" s="191"/>
    </row>
    <row r="141" spans="7:13" ht="15.75" customHeight="1">
      <c r="G141" s="187" t="s">
        <v>148</v>
      </c>
      <c r="H141" s="187"/>
      <c r="I141" s="112">
        <v>0</v>
      </c>
      <c r="J141" s="188" t="s">
        <v>163</v>
      </c>
      <c r="K141" s="188"/>
      <c r="L141" s="188"/>
      <c r="M141" s="188"/>
    </row>
    <row r="142" spans="2:13" ht="18.75" customHeight="1">
      <c r="B142" s="185" t="s">
        <v>160</v>
      </c>
      <c r="C142" s="186"/>
      <c r="D142" s="117">
        <v>111410.62</v>
      </c>
      <c r="E142" s="80"/>
      <c r="F142" s="100" t="s">
        <v>147</v>
      </c>
      <c r="G142" s="187" t="s">
        <v>149</v>
      </c>
      <c r="H142" s="187"/>
      <c r="I142" s="116">
        <v>97585.4</v>
      </c>
      <c r="J142" s="188" t="s">
        <v>164</v>
      </c>
      <c r="K142" s="188"/>
      <c r="L142" s="188"/>
      <c r="M142" s="188"/>
    </row>
    <row r="143" spans="7:12" ht="9.75" customHeight="1">
      <c r="G143" s="181"/>
      <c r="H143" s="181"/>
      <c r="I143" s="98"/>
      <c r="J143" s="99"/>
      <c r="K143" s="99"/>
      <c r="L143" s="99"/>
    </row>
    <row r="144" spans="2:12" ht="22.5" customHeight="1">
      <c r="B144" s="182" t="s">
        <v>169</v>
      </c>
      <c r="C144" s="183"/>
      <c r="D144" s="119">
        <v>0</v>
      </c>
      <c r="E144" s="77" t="s">
        <v>104</v>
      </c>
      <c r="G144" s="181"/>
      <c r="H144" s="181"/>
      <c r="I144" s="98"/>
      <c r="J144" s="99"/>
      <c r="K144" s="99"/>
      <c r="L144" s="99"/>
    </row>
    <row r="145" spans="4:15" ht="15.75">
      <c r="D145" s="114"/>
      <c r="N145" s="181"/>
      <c r="O145" s="181"/>
    </row>
    <row r="146" spans="4:15" ht="15.75">
      <c r="D146" s="113"/>
      <c r="I146" s="39"/>
      <c r="N146" s="184"/>
      <c r="O146" s="184"/>
    </row>
    <row r="147" spans="14:15" ht="15.75">
      <c r="N147" s="181"/>
      <c r="O147" s="181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2014-09-25T07:22:45Z</cp:lastPrinted>
  <dcterms:created xsi:type="dcterms:W3CDTF">2003-07-28T11:27:56Z</dcterms:created>
  <dcterms:modified xsi:type="dcterms:W3CDTF">2014-09-25T07:23:04Z</dcterms:modified>
  <cp:category/>
  <cp:version/>
  <cp:contentType/>
  <cp:contentStatus/>
</cp:coreProperties>
</file>